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máš Fedor\Desktop\wx data\meteo data\"/>
    </mc:Choice>
  </mc:AlternateContent>
  <bookViews>
    <workbookView xWindow="240" yWindow="36" windowWidth="20112" windowHeight="7596" tabRatio="772"/>
  </bookViews>
  <sheets>
    <sheet name="Január-December" sheetId="2" r:id="rId1"/>
    <sheet name="búrky" sheetId="17" r:id="rId2"/>
    <sheet name="2019" sheetId="1" r:id="rId3"/>
    <sheet name="2019 dni" sheetId="20" r:id="rId4"/>
  </sheets>
  <definedNames>
    <definedName name="_xlnm._FilterDatabase" localSheetId="2" hidden="1">'2019'!$A$3:$A$15</definedName>
    <definedName name="Indoor_Temperature_°C">#REF!</definedName>
    <definedName name="Time">#REF!</definedName>
  </definedNames>
  <calcPr calcId="152511"/>
</workbook>
</file>

<file path=xl/calcChain.xml><?xml version="1.0" encoding="utf-8"?>
<calcChain xmlns="http://schemas.openxmlformats.org/spreadsheetml/2006/main">
  <c r="V14" i="20" l="1"/>
  <c r="U14" i="20"/>
  <c r="V13" i="20"/>
  <c r="U13" i="20"/>
  <c r="V12" i="20"/>
  <c r="U12" i="20"/>
  <c r="V11" i="20"/>
  <c r="U11" i="20"/>
  <c r="V10" i="20"/>
  <c r="U10" i="20"/>
  <c r="V9" i="20"/>
  <c r="U9" i="20"/>
  <c r="V8" i="20"/>
  <c r="U8" i="20"/>
  <c r="V7" i="20"/>
  <c r="U7" i="20"/>
  <c r="V6" i="20"/>
  <c r="U6" i="20"/>
  <c r="V5" i="20"/>
  <c r="U5" i="20"/>
  <c r="V4" i="20"/>
  <c r="U4" i="20"/>
  <c r="V3" i="20"/>
  <c r="U3" i="20"/>
  <c r="U15" i="20" s="1"/>
  <c r="V15" i="20"/>
  <c r="G367" i="2" l="1"/>
  <c r="H367" i="2"/>
  <c r="H366" i="2" l="1"/>
  <c r="G366" i="2"/>
  <c r="H365" i="2" l="1"/>
  <c r="G365" i="2"/>
  <c r="G364" i="2" l="1"/>
  <c r="H364" i="2"/>
  <c r="G363" i="2" l="1"/>
  <c r="H363" i="2"/>
  <c r="H362" i="2" l="1"/>
  <c r="G362" i="2"/>
  <c r="H361" i="2" l="1"/>
  <c r="G361" i="2"/>
  <c r="G360" i="2" l="1"/>
  <c r="H360" i="2"/>
  <c r="G359" i="2" l="1"/>
  <c r="H359" i="2"/>
  <c r="H358" i="2" l="1"/>
  <c r="G358" i="2"/>
  <c r="G357" i="2" l="1"/>
  <c r="H357" i="2"/>
  <c r="H356" i="2" l="1"/>
  <c r="G356" i="2"/>
  <c r="H355" i="2" l="1"/>
  <c r="G355" i="2"/>
  <c r="H354" i="2" l="1"/>
  <c r="G354" i="2"/>
  <c r="H353" i="2" l="1"/>
  <c r="G353" i="2"/>
  <c r="H352" i="2" l="1"/>
  <c r="G352" i="2"/>
  <c r="H351" i="2" l="1"/>
  <c r="G351" i="2"/>
  <c r="H350" i="2" l="1"/>
  <c r="G350" i="2"/>
  <c r="G349" i="2" l="1"/>
  <c r="H349" i="2"/>
  <c r="H348" i="2"/>
  <c r="G348" i="2"/>
  <c r="H347" i="2" l="1"/>
  <c r="G347" i="2"/>
  <c r="H346" i="2" l="1"/>
  <c r="G346" i="2"/>
  <c r="H345" i="2" l="1"/>
  <c r="H344" i="2"/>
  <c r="H343" i="2"/>
  <c r="G345" i="2"/>
  <c r="G344" i="2"/>
  <c r="G343" i="2"/>
  <c r="H342" i="2" l="1"/>
  <c r="G342" i="2"/>
  <c r="H341" i="2" l="1"/>
  <c r="G341" i="2"/>
  <c r="H340" i="2" l="1"/>
  <c r="G340" i="2"/>
  <c r="H339" i="2"/>
  <c r="G339" i="2"/>
  <c r="G338" i="2" l="1"/>
  <c r="H338" i="2"/>
  <c r="H337" i="2"/>
  <c r="G337" i="2"/>
  <c r="H336" i="2" l="1"/>
  <c r="G336" i="2"/>
  <c r="H335" i="2" l="1"/>
  <c r="G335" i="2"/>
  <c r="H334" i="2" l="1"/>
  <c r="G334" i="2"/>
  <c r="G333" i="2" l="1"/>
  <c r="H333" i="2"/>
  <c r="H332" i="2"/>
  <c r="G332" i="2"/>
  <c r="H331" i="2" l="1"/>
  <c r="G331" i="2"/>
  <c r="H330" i="2"/>
  <c r="G330" i="2"/>
  <c r="G329" i="2" l="1"/>
  <c r="H329" i="2"/>
  <c r="G328" i="2" l="1"/>
  <c r="H328" i="2"/>
  <c r="H327" i="2" l="1"/>
  <c r="G327" i="2"/>
  <c r="G326" i="2" l="1"/>
  <c r="H326" i="2"/>
  <c r="H325" i="2" l="1"/>
  <c r="G325" i="2"/>
  <c r="H324" i="2" l="1"/>
  <c r="G324" i="2"/>
  <c r="G323" i="2" l="1"/>
  <c r="H323" i="2"/>
  <c r="G322" i="2" l="1"/>
  <c r="H322" i="2"/>
  <c r="H321" i="2" l="1"/>
  <c r="G321" i="2"/>
  <c r="H320" i="2" l="1"/>
  <c r="G320" i="2"/>
  <c r="H319" i="2" l="1"/>
  <c r="G319" i="2"/>
  <c r="G318" i="2" l="1"/>
  <c r="H318" i="2"/>
  <c r="H317" i="2" l="1"/>
  <c r="G317" i="2"/>
  <c r="H316" i="2" l="1"/>
  <c r="G316" i="2"/>
  <c r="H315" i="2" l="1"/>
  <c r="G315" i="2"/>
  <c r="H314" i="2" l="1"/>
  <c r="G314" i="2"/>
  <c r="H313" i="2" l="1"/>
  <c r="G313" i="2"/>
  <c r="H312" i="2" l="1"/>
  <c r="G312" i="2"/>
  <c r="H311" i="2" l="1"/>
  <c r="G311" i="2"/>
  <c r="H310" i="2" l="1"/>
  <c r="G310" i="2"/>
  <c r="H309" i="2" l="1"/>
  <c r="G309" i="2"/>
  <c r="H308" i="2" l="1"/>
  <c r="G308" i="2"/>
  <c r="G307" i="2" l="1"/>
  <c r="H307" i="2"/>
  <c r="M14" i="20" l="1"/>
  <c r="M13" i="20"/>
  <c r="M12" i="20"/>
  <c r="M11" i="20"/>
  <c r="M10" i="20"/>
  <c r="M9" i="20"/>
  <c r="M8" i="20"/>
  <c r="M7" i="20"/>
  <c r="M6" i="20"/>
  <c r="M5" i="20"/>
  <c r="M4" i="20"/>
  <c r="M3" i="20"/>
  <c r="M15" i="20" l="1"/>
  <c r="H306" i="2"/>
  <c r="G306" i="2"/>
  <c r="H305" i="2" l="1"/>
  <c r="H304" i="2"/>
  <c r="G305" i="2"/>
  <c r="G304" i="2"/>
  <c r="G303" i="2" l="1"/>
  <c r="H303" i="2"/>
  <c r="H302" i="2" l="1"/>
  <c r="G302" i="2"/>
  <c r="G301" i="2" l="1"/>
  <c r="H301" i="2"/>
  <c r="H300" i="2" l="1"/>
  <c r="G300" i="2"/>
  <c r="G299" i="2" l="1"/>
  <c r="H299" i="2"/>
  <c r="H298" i="2"/>
  <c r="G298" i="2"/>
  <c r="H297" i="2" l="1"/>
  <c r="G297" i="2"/>
  <c r="G296" i="2" l="1"/>
  <c r="H296" i="2"/>
  <c r="H295" i="2" l="1"/>
  <c r="H294" i="2"/>
  <c r="H293" i="2"/>
  <c r="G295" i="2"/>
  <c r="G294" i="2"/>
  <c r="G293" i="2"/>
  <c r="G292" i="2" l="1"/>
  <c r="H292" i="2"/>
  <c r="H291" i="2" l="1"/>
  <c r="G291" i="2"/>
  <c r="H290" i="2" l="1"/>
  <c r="G290" i="2"/>
  <c r="G289" i="2" l="1"/>
  <c r="G288" i="2"/>
  <c r="H289" i="2"/>
  <c r="H288" i="2"/>
  <c r="H287" i="2" l="1"/>
  <c r="G287" i="2"/>
  <c r="G286" i="2" l="1"/>
  <c r="H286" i="2"/>
  <c r="H285" i="2" l="1"/>
  <c r="G285" i="2"/>
  <c r="H284" i="2" l="1"/>
  <c r="G284" i="2"/>
  <c r="G283" i="2" l="1"/>
  <c r="H283" i="2"/>
  <c r="H282" i="2" l="1"/>
  <c r="G282" i="2"/>
  <c r="H281" i="2" l="1"/>
  <c r="G281" i="2"/>
  <c r="G280" i="2" l="1"/>
  <c r="H280" i="2"/>
  <c r="H279" i="2" l="1"/>
  <c r="G279" i="2"/>
  <c r="H278" i="2" l="1"/>
  <c r="G278" i="2"/>
  <c r="H277" i="2" l="1"/>
  <c r="G277" i="2"/>
  <c r="H276" i="2" l="1"/>
  <c r="G276" i="2"/>
  <c r="H275" i="2" l="1"/>
  <c r="H274" i="2"/>
  <c r="G275" i="2"/>
  <c r="G274" i="2"/>
  <c r="H273" i="2" l="1"/>
  <c r="G273" i="2"/>
  <c r="H272" i="2" l="1"/>
  <c r="G272" i="2"/>
  <c r="H271" i="2" l="1"/>
  <c r="G271" i="2"/>
  <c r="G270" i="2" l="1"/>
  <c r="H270" i="2"/>
  <c r="H269" i="2" l="1"/>
  <c r="G269" i="2"/>
  <c r="H268" i="2" l="1"/>
  <c r="G268" i="2"/>
  <c r="H267" i="2" l="1"/>
  <c r="G267" i="2"/>
  <c r="H266" i="2" l="1"/>
  <c r="G266" i="2"/>
  <c r="G265" i="2" l="1"/>
  <c r="G264" i="2"/>
  <c r="G263" i="2"/>
  <c r="G262" i="2"/>
  <c r="H265" i="2"/>
  <c r="H264" i="2"/>
  <c r="H263" i="2"/>
  <c r="H262" i="2"/>
  <c r="H261" i="2" l="1"/>
  <c r="G261" i="2"/>
  <c r="H260" i="2" l="1"/>
  <c r="G260" i="2"/>
  <c r="H259" i="2" l="1"/>
  <c r="G259" i="2"/>
  <c r="H258" i="2" l="1"/>
  <c r="H257" i="2"/>
  <c r="H256" i="2"/>
  <c r="H255" i="2"/>
  <c r="H254" i="2"/>
  <c r="H253" i="2"/>
  <c r="H252" i="2"/>
  <c r="G258" i="2"/>
  <c r="G257" i="2"/>
  <c r="G256" i="2"/>
  <c r="G255" i="2"/>
  <c r="G254" i="2"/>
  <c r="G253" i="2"/>
  <c r="G252" i="2"/>
  <c r="H251" i="2" l="1"/>
  <c r="G251" i="2"/>
  <c r="H250" i="2" l="1"/>
  <c r="G250" i="2"/>
  <c r="H249" i="2" l="1"/>
  <c r="G248" i="2"/>
  <c r="G249" i="2"/>
  <c r="H248" i="2"/>
  <c r="G247" i="2" l="1"/>
  <c r="H247" i="2"/>
  <c r="H246" i="2" l="1"/>
  <c r="G246" i="2"/>
  <c r="G225" i="2" l="1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H245" i="2" l="1"/>
  <c r="H244" i="2"/>
  <c r="H243" i="2" l="1"/>
  <c r="H242" i="2"/>
  <c r="H241" i="2"/>
  <c r="H240" i="2" l="1"/>
  <c r="H239" i="2"/>
  <c r="H238" i="2"/>
  <c r="H237" i="2" l="1"/>
  <c r="H236" i="2"/>
  <c r="H235" i="2"/>
  <c r="H234" i="2" l="1"/>
  <c r="H233" i="2"/>
  <c r="H232" i="2" l="1"/>
  <c r="H231" i="2" l="1"/>
  <c r="H230" i="2" l="1"/>
  <c r="H229" i="2" l="1"/>
  <c r="H228" i="2" l="1"/>
  <c r="H227" i="2" l="1"/>
  <c r="H226" i="2"/>
  <c r="H225" i="2"/>
  <c r="H224" i="2" l="1"/>
  <c r="G224" i="2"/>
  <c r="H223" i="2" l="1"/>
  <c r="G223" i="2"/>
  <c r="H222" i="2" l="1"/>
  <c r="G222" i="2"/>
  <c r="H221" i="2" l="1"/>
  <c r="G221" i="2"/>
  <c r="H220" i="2" l="1"/>
  <c r="G220" i="2"/>
  <c r="H219" i="2" l="1"/>
  <c r="G219" i="2"/>
  <c r="G215" i="2" l="1"/>
  <c r="H215" i="2"/>
  <c r="G216" i="2"/>
  <c r="H216" i="2"/>
  <c r="G217" i="2"/>
  <c r="H217" i="2"/>
  <c r="G218" i="2"/>
  <c r="H218" i="2"/>
  <c r="I5" i="20" l="1"/>
  <c r="H214" i="2" l="1"/>
  <c r="G214" i="2"/>
  <c r="H213" i="2" l="1"/>
  <c r="G213" i="2"/>
  <c r="H9" i="20" l="1"/>
  <c r="I9" i="20"/>
  <c r="J9" i="20"/>
  <c r="K9" i="20"/>
  <c r="K8" i="20"/>
  <c r="H212" i="2"/>
  <c r="H211" i="2"/>
  <c r="H210" i="2"/>
  <c r="G211" i="2"/>
  <c r="G212" i="2"/>
  <c r="L9" i="20" l="1"/>
  <c r="G210" i="2"/>
  <c r="H209" i="2" l="1"/>
  <c r="G209" i="2"/>
  <c r="H208" i="2" l="1"/>
  <c r="G208" i="2"/>
  <c r="H207" i="2" l="1"/>
  <c r="G207" i="2"/>
  <c r="H206" i="2" l="1"/>
  <c r="G206" i="2"/>
  <c r="H205" i="2" l="1"/>
  <c r="G205" i="2"/>
  <c r="H204" i="2" l="1"/>
  <c r="G204" i="2"/>
  <c r="H203" i="2" l="1"/>
  <c r="G203" i="2"/>
  <c r="H202" i="2" l="1"/>
  <c r="G202" i="2"/>
  <c r="H201" i="2" l="1"/>
  <c r="G201" i="2"/>
  <c r="H200" i="2" l="1"/>
  <c r="G200" i="2"/>
  <c r="H199" i="2" l="1"/>
  <c r="G199" i="2"/>
  <c r="H198" i="2" l="1"/>
  <c r="G198" i="2"/>
  <c r="H197" i="2" l="1"/>
  <c r="G197" i="2"/>
  <c r="G196" i="2" l="1"/>
  <c r="H196" i="2"/>
  <c r="H195" i="2" l="1"/>
  <c r="G195" i="2"/>
  <c r="H194" i="2" l="1"/>
  <c r="G194" i="2"/>
  <c r="H193" i="2" l="1"/>
  <c r="G193" i="2"/>
  <c r="H192" i="2" l="1"/>
  <c r="G192" i="2"/>
  <c r="H191" i="2" l="1"/>
  <c r="G191" i="2"/>
  <c r="H190" i="2" l="1"/>
  <c r="G190" i="2"/>
  <c r="H189" i="2" l="1"/>
  <c r="G189" i="2"/>
  <c r="H188" i="2" l="1"/>
  <c r="G188" i="2"/>
  <c r="H187" i="2" l="1"/>
  <c r="G187" i="2"/>
  <c r="G184" i="2" l="1"/>
  <c r="H184" i="2"/>
  <c r="G185" i="2"/>
  <c r="H185" i="2"/>
  <c r="G186" i="2"/>
  <c r="H186" i="2"/>
  <c r="H183" i="2" l="1"/>
  <c r="G183" i="2"/>
  <c r="G182" i="2" l="1"/>
  <c r="H182" i="2"/>
  <c r="H181" i="2" l="1"/>
  <c r="G181" i="2"/>
  <c r="H180" i="2" l="1"/>
  <c r="G180" i="2"/>
  <c r="H179" i="2" l="1"/>
  <c r="G179" i="2"/>
  <c r="H178" i="2" l="1"/>
  <c r="G178" i="2"/>
  <c r="H177" i="2" l="1"/>
  <c r="G177" i="2"/>
  <c r="H176" i="2" l="1"/>
  <c r="G176" i="2"/>
  <c r="H175" i="2" l="1"/>
  <c r="G175" i="2"/>
  <c r="H174" i="2" l="1"/>
  <c r="G174" i="2"/>
  <c r="H173" i="2" l="1"/>
  <c r="G173" i="2"/>
  <c r="H172" i="2" l="1"/>
  <c r="G172" i="2"/>
  <c r="G171" i="2" l="1"/>
  <c r="H171" i="2"/>
  <c r="H170" i="2"/>
  <c r="G170" i="2"/>
  <c r="H169" i="2" l="1"/>
  <c r="G169" i="2"/>
  <c r="H168" i="2" l="1"/>
  <c r="G168" i="2"/>
  <c r="H167" i="2" l="1"/>
  <c r="G167" i="2"/>
  <c r="H166" i="2" l="1"/>
  <c r="G166" i="2"/>
  <c r="H165" i="2" l="1"/>
  <c r="G165" i="2"/>
  <c r="H164" i="2" l="1"/>
  <c r="G164" i="2"/>
  <c r="H163" i="2" l="1"/>
  <c r="G163" i="2"/>
  <c r="H162" i="2" l="1"/>
  <c r="G162" i="2"/>
  <c r="H161" i="2" l="1"/>
  <c r="G161" i="2"/>
  <c r="H160" i="2" l="1"/>
  <c r="G160" i="2"/>
  <c r="H159" i="2" l="1"/>
  <c r="G159" i="2"/>
  <c r="H158" i="2" l="1"/>
  <c r="G158" i="2"/>
  <c r="H157" i="2" l="1"/>
  <c r="H156" i="2"/>
  <c r="G157" i="2"/>
  <c r="G156" i="2"/>
  <c r="H155" i="2" l="1"/>
  <c r="G155" i="2"/>
  <c r="H154" i="2" l="1"/>
  <c r="G154" i="2"/>
  <c r="H153" i="2" l="1"/>
  <c r="G153" i="2"/>
  <c r="H152" i="2" l="1"/>
  <c r="G152" i="2"/>
  <c r="H151" i="2" l="1"/>
  <c r="H150" i="2"/>
  <c r="G151" i="2"/>
  <c r="G150" i="2"/>
  <c r="H149" i="2" l="1"/>
  <c r="G149" i="2"/>
  <c r="H148" i="2" l="1"/>
  <c r="G148" i="2"/>
  <c r="H147" i="2" l="1"/>
  <c r="H146" i="2"/>
  <c r="G147" i="2"/>
  <c r="G146" i="2"/>
  <c r="G145" i="2" l="1"/>
  <c r="G144" i="2"/>
  <c r="G143" i="2"/>
  <c r="G142" i="2"/>
  <c r="G141" i="2"/>
  <c r="G140" i="2"/>
  <c r="H145" i="2"/>
  <c r="H144" i="2"/>
  <c r="H143" i="2"/>
  <c r="H142" i="2"/>
  <c r="H141" i="2"/>
  <c r="H140" i="2"/>
  <c r="H139" i="2" l="1"/>
  <c r="G139" i="2"/>
  <c r="H138" i="2" l="1"/>
  <c r="G138" i="2"/>
  <c r="H137" i="2" l="1"/>
  <c r="G137" i="2"/>
  <c r="H136" i="2" l="1"/>
  <c r="G136" i="2"/>
  <c r="H135" i="2" l="1"/>
  <c r="G135" i="2"/>
  <c r="H134" i="2" l="1"/>
  <c r="G134" i="2"/>
  <c r="H133" i="2" l="1"/>
  <c r="G133" i="2"/>
  <c r="H132" i="2" l="1"/>
  <c r="G132" i="2"/>
  <c r="H131" i="2" l="1"/>
  <c r="G131" i="2"/>
  <c r="H130" i="2" l="1"/>
  <c r="G130" i="2"/>
  <c r="H129" i="2" l="1"/>
  <c r="G129" i="2"/>
  <c r="H128" i="2" l="1"/>
  <c r="G128" i="2"/>
  <c r="H127" i="2" l="1"/>
  <c r="G127" i="2"/>
  <c r="H126" i="2" l="1"/>
  <c r="G126" i="2"/>
  <c r="H125" i="2" l="1"/>
  <c r="H124" i="2"/>
  <c r="H123" i="2"/>
  <c r="G125" i="2"/>
  <c r="G124" i="2"/>
  <c r="G123" i="2"/>
  <c r="H122" i="2" l="1"/>
  <c r="G122" i="2"/>
  <c r="H121" i="2" l="1"/>
  <c r="G121" i="2"/>
  <c r="H120" i="2" l="1"/>
  <c r="G120" i="2"/>
  <c r="H119" i="2" l="1"/>
  <c r="G119" i="2"/>
  <c r="H118" i="2" l="1"/>
  <c r="G118" i="2"/>
  <c r="H117" i="2" l="1"/>
  <c r="H116" i="2"/>
  <c r="G117" i="2"/>
  <c r="G116" i="2"/>
  <c r="H115" i="2" l="1"/>
  <c r="G115" i="2"/>
  <c r="H114" i="2" l="1"/>
  <c r="G114" i="2"/>
  <c r="H113" i="2" l="1"/>
  <c r="G113" i="2"/>
  <c r="H112" i="2" l="1"/>
  <c r="G112" i="2"/>
  <c r="H111" i="2" l="1"/>
  <c r="G111" i="2"/>
  <c r="H110" i="2" l="1"/>
  <c r="G110" i="2"/>
  <c r="H109" i="2" l="1"/>
  <c r="G109" i="2"/>
  <c r="G108" i="2" l="1"/>
  <c r="H108" i="2"/>
  <c r="H107" i="2"/>
  <c r="G107" i="2"/>
  <c r="H106" i="2" l="1"/>
  <c r="G106" i="2"/>
  <c r="H105" i="2" l="1"/>
  <c r="G105" i="2"/>
  <c r="H104" i="2" l="1"/>
  <c r="G104" i="2"/>
  <c r="H103" i="2" l="1"/>
  <c r="G103" i="2"/>
  <c r="H102" i="2" l="1"/>
  <c r="G102" i="2"/>
  <c r="H101" i="2" l="1"/>
  <c r="G101" i="2"/>
  <c r="H100" i="2" l="1"/>
  <c r="G100" i="2"/>
  <c r="H99" i="2" l="1"/>
  <c r="G99" i="2"/>
  <c r="H98" i="2" l="1"/>
  <c r="G98" i="2"/>
  <c r="H97" i="2" l="1"/>
  <c r="G97" i="2"/>
  <c r="H96" i="2" l="1"/>
  <c r="G96" i="2"/>
  <c r="H95" i="2" l="1"/>
  <c r="G95" i="2"/>
  <c r="G93" i="2" l="1"/>
  <c r="H93" i="2"/>
  <c r="G94" i="2"/>
  <c r="H94" i="2"/>
  <c r="H92" i="2" l="1"/>
  <c r="G92" i="2"/>
  <c r="H91" i="2" l="1"/>
  <c r="H90" i="2"/>
  <c r="G91" i="2"/>
  <c r="G90" i="2"/>
  <c r="H89" i="2" l="1"/>
  <c r="G89" i="2"/>
  <c r="H88" i="2" l="1"/>
  <c r="G88" i="2"/>
  <c r="H87" i="2" l="1"/>
  <c r="G87" i="2"/>
  <c r="H86" i="2" l="1"/>
  <c r="G86" i="2"/>
  <c r="H85" i="2" l="1"/>
  <c r="G85" i="2"/>
  <c r="H84" i="2" l="1"/>
  <c r="G84" i="2"/>
  <c r="G83" i="2"/>
  <c r="H83" i="2"/>
  <c r="H82" i="2" l="1"/>
  <c r="G82" i="2"/>
  <c r="H81" i="2" l="1"/>
  <c r="G81" i="2"/>
  <c r="H80" i="2" l="1"/>
  <c r="G80" i="2"/>
  <c r="G79" i="2"/>
  <c r="H79" i="2"/>
  <c r="H78" i="2" l="1"/>
  <c r="G78" i="2"/>
  <c r="H77" i="2" l="1"/>
  <c r="G77" i="2"/>
  <c r="H76" i="2" l="1"/>
  <c r="G76" i="2"/>
  <c r="H75" i="2" l="1"/>
  <c r="G75" i="2"/>
  <c r="H74" i="2" l="1"/>
  <c r="G74" i="2"/>
  <c r="H73" i="2" l="1"/>
  <c r="G73" i="2"/>
  <c r="H72" i="2" l="1"/>
  <c r="G72" i="2"/>
  <c r="H71" i="2" l="1"/>
  <c r="G71" i="2"/>
  <c r="H70" i="2" l="1"/>
  <c r="G70" i="2"/>
  <c r="H69" i="2" l="1"/>
  <c r="G69" i="2"/>
  <c r="H68" i="2" l="1"/>
  <c r="G68" i="2"/>
  <c r="H67" i="2" l="1"/>
  <c r="G67" i="2"/>
  <c r="H66" i="2" l="1"/>
  <c r="G66" i="2"/>
  <c r="H65" i="2" l="1"/>
  <c r="G65" i="2"/>
  <c r="H64" i="2" l="1"/>
  <c r="G64" i="2"/>
  <c r="H63" i="2" l="1"/>
  <c r="G63" i="2"/>
  <c r="G62" i="2"/>
  <c r="H62" i="2"/>
  <c r="H61" i="2" l="1"/>
  <c r="G61" i="2"/>
  <c r="H60" i="2" l="1"/>
  <c r="G60" i="2"/>
  <c r="H59" i="2" l="1"/>
  <c r="G59" i="2"/>
  <c r="H58" i="2" l="1"/>
  <c r="G58" i="2"/>
  <c r="G57" i="2" l="1"/>
  <c r="H57" i="2"/>
  <c r="G56" i="2"/>
  <c r="H56" i="2"/>
  <c r="H55" i="2" l="1"/>
  <c r="G55" i="2"/>
  <c r="H49" i="2" l="1"/>
  <c r="H54" i="2"/>
  <c r="G54" i="2"/>
  <c r="G53" i="2" l="1"/>
  <c r="H53" i="2"/>
  <c r="H52" i="2"/>
  <c r="G52" i="2"/>
  <c r="H51" i="2" l="1"/>
  <c r="G51" i="2"/>
  <c r="H50" i="2" l="1"/>
  <c r="G50" i="2"/>
  <c r="G49" i="2" l="1"/>
  <c r="H48" i="2" l="1"/>
  <c r="G48" i="2"/>
  <c r="H47" i="2" l="1"/>
  <c r="G47" i="2"/>
  <c r="H46" i="2" l="1"/>
  <c r="G46" i="2"/>
  <c r="H45" i="2" l="1"/>
  <c r="G45" i="2"/>
  <c r="H44" i="2" l="1"/>
  <c r="G44" i="2"/>
  <c r="H43" i="2" l="1"/>
  <c r="G43" i="2"/>
  <c r="H42" i="2" l="1"/>
  <c r="G42" i="2"/>
  <c r="H41" i="2" l="1"/>
  <c r="G41" i="2"/>
  <c r="G40" i="2"/>
  <c r="H40" i="2"/>
  <c r="H39" i="2" l="1"/>
  <c r="G39" i="2"/>
  <c r="H38" i="2" l="1"/>
  <c r="G38" i="2"/>
  <c r="H37" i="2" l="1"/>
  <c r="G37" i="2"/>
  <c r="H36" i="2" l="1"/>
  <c r="G36" i="2"/>
  <c r="H35" i="2" l="1"/>
  <c r="G35" i="2"/>
  <c r="H34" i="2" l="1"/>
  <c r="G34" i="2"/>
  <c r="H33" i="2" l="1"/>
  <c r="G33" i="2"/>
  <c r="H32" i="2" l="1"/>
  <c r="H31" i="2"/>
  <c r="G31" i="2"/>
  <c r="G32" i="2"/>
  <c r="H30" i="2"/>
  <c r="G30" i="2"/>
  <c r="H29" i="2" l="1"/>
  <c r="G29" i="2"/>
  <c r="H28" i="2" l="1"/>
  <c r="G28" i="2"/>
  <c r="H27" i="2" l="1"/>
  <c r="G27" i="2"/>
  <c r="H26" i="2" l="1"/>
  <c r="G26" i="2"/>
  <c r="H25" i="2" l="1"/>
  <c r="G25" i="2"/>
  <c r="H24" i="2" l="1"/>
  <c r="G24" i="2"/>
  <c r="H23" i="2" l="1"/>
  <c r="G23" i="2"/>
  <c r="H22" i="2" l="1"/>
  <c r="G22" i="2"/>
  <c r="H21" i="2" l="1"/>
  <c r="G21" i="2"/>
  <c r="H20" i="2" l="1"/>
  <c r="G20" i="2"/>
  <c r="H19" i="2" l="1"/>
  <c r="G19" i="2"/>
  <c r="H18" i="2" l="1"/>
  <c r="G18" i="2"/>
  <c r="H17" i="2" l="1"/>
  <c r="G17" i="2"/>
  <c r="H16" i="2" l="1"/>
  <c r="G16" i="2"/>
  <c r="H15" i="2" l="1"/>
  <c r="G15" i="2"/>
  <c r="H14" i="2" l="1"/>
  <c r="G14" i="2"/>
  <c r="H13" i="2" l="1"/>
  <c r="G13" i="2"/>
  <c r="H12" i="2" l="1"/>
  <c r="G12" i="2"/>
  <c r="H11" i="2" l="1"/>
  <c r="G11" i="2"/>
  <c r="H10" i="2" l="1"/>
  <c r="G10" i="2"/>
  <c r="H9" i="2" l="1"/>
  <c r="G9" i="2"/>
  <c r="H8" i="2" l="1"/>
  <c r="G8" i="2"/>
  <c r="H4" i="2" l="1"/>
  <c r="H5" i="2"/>
  <c r="H6" i="2"/>
  <c r="H7" i="2"/>
  <c r="H3" i="2"/>
  <c r="G7" i="2"/>
  <c r="G6" i="2" l="1"/>
  <c r="G5" i="2" l="1"/>
  <c r="G4" i="2" l="1"/>
  <c r="G3" i="2" l="1"/>
  <c r="D14" i="1" l="1"/>
  <c r="E14" i="1"/>
  <c r="E13" i="1" l="1"/>
  <c r="D13" i="1"/>
  <c r="D12" i="1" l="1"/>
  <c r="E12" i="1"/>
  <c r="C12" i="1"/>
  <c r="E11" i="1" l="1"/>
  <c r="D11" i="1"/>
  <c r="C11" i="1"/>
  <c r="G129" i="17" l="1"/>
  <c r="G128" i="17"/>
  <c r="G127" i="17"/>
  <c r="G126" i="17"/>
  <c r="G124" i="17"/>
  <c r="G123" i="17"/>
  <c r="G122" i="17"/>
  <c r="G121" i="17"/>
  <c r="G120" i="17"/>
  <c r="D10" i="1" l="1"/>
  <c r="E10" i="1"/>
  <c r="C10" i="1"/>
  <c r="E9" i="1"/>
  <c r="D9" i="1"/>
  <c r="C9" i="1"/>
  <c r="G99" i="17" l="1"/>
  <c r="G98" i="17"/>
  <c r="G97" i="17"/>
  <c r="G96" i="17"/>
  <c r="G94" i="17"/>
  <c r="G93" i="17"/>
  <c r="G92" i="17"/>
  <c r="G91" i="17"/>
  <c r="G90" i="17"/>
  <c r="J8" i="20" l="1"/>
  <c r="I8" i="20"/>
  <c r="H8" i="20"/>
  <c r="E8" i="1" l="1"/>
  <c r="C8" i="1"/>
  <c r="D8" i="1"/>
  <c r="B8" i="1"/>
  <c r="E7" i="1" l="1"/>
  <c r="D7" i="1"/>
  <c r="B7" i="1"/>
  <c r="C7" i="1"/>
  <c r="E6" i="1" l="1"/>
  <c r="D6" i="1"/>
  <c r="B6" i="1"/>
  <c r="E5" i="1"/>
  <c r="D5" i="1"/>
  <c r="B5" i="1"/>
  <c r="E4" i="1"/>
  <c r="C4" i="1"/>
  <c r="D4" i="1"/>
  <c r="B4" i="1"/>
  <c r="E3" i="1"/>
  <c r="D3" i="1"/>
  <c r="B3" i="1"/>
  <c r="C5" i="1"/>
  <c r="C3" i="1"/>
  <c r="D15" i="1" l="1"/>
  <c r="E15" i="1"/>
  <c r="N10" i="20" l="1"/>
  <c r="N11" i="20"/>
  <c r="N12" i="20"/>
  <c r="N13" i="20"/>
  <c r="N14" i="20"/>
  <c r="O14" i="20"/>
  <c r="O13" i="20"/>
  <c r="O12" i="20"/>
  <c r="O11" i="20"/>
  <c r="O10" i="20"/>
  <c r="N9" i="20"/>
  <c r="O9" i="20"/>
  <c r="N8" i="20"/>
  <c r="O8" i="20"/>
  <c r="N7" i="20"/>
  <c r="O7" i="20"/>
  <c r="N6" i="20"/>
  <c r="O6" i="20"/>
  <c r="N4" i="20"/>
  <c r="N5" i="20"/>
  <c r="O5" i="20"/>
  <c r="O4" i="20"/>
  <c r="N3" i="20"/>
  <c r="O3" i="20"/>
  <c r="N15" i="20" l="1"/>
  <c r="C14" i="20" l="1"/>
  <c r="C13" i="20"/>
  <c r="C12" i="20"/>
  <c r="C11" i="20"/>
  <c r="C10" i="20"/>
  <c r="C9" i="20"/>
  <c r="C8" i="20"/>
  <c r="C7" i="20"/>
  <c r="C6" i="20"/>
  <c r="C5" i="20"/>
  <c r="C4" i="20"/>
  <c r="C3" i="20"/>
  <c r="G173" i="17" l="1"/>
  <c r="G172" i="17"/>
  <c r="G171" i="17"/>
  <c r="G170" i="17"/>
  <c r="G168" i="17"/>
  <c r="G167" i="17"/>
  <c r="G166" i="17"/>
  <c r="G165" i="17"/>
  <c r="G164" i="17"/>
  <c r="F13" i="1" l="1"/>
  <c r="Q14" i="20" l="1"/>
  <c r="Q13" i="20"/>
  <c r="Q12" i="20"/>
  <c r="Q11" i="20"/>
  <c r="Q10" i="20"/>
  <c r="Q9" i="20"/>
  <c r="Q8" i="20"/>
  <c r="Q7" i="20"/>
  <c r="Q6" i="20"/>
  <c r="Q5" i="20"/>
  <c r="Q4" i="20"/>
  <c r="Q3" i="20"/>
  <c r="R14" i="20"/>
  <c r="R13" i="20"/>
  <c r="R12" i="20"/>
  <c r="R11" i="20"/>
  <c r="R10" i="20"/>
  <c r="R9" i="20"/>
  <c r="R8" i="20"/>
  <c r="R7" i="20"/>
  <c r="R6" i="20"/>
  <c r="R5" i="20"/>
  <c r="R4" i="20"/>
  <c r="R3" i="20"/>
  <c r="X3" i="20" l="1"/>
  <c r="X4" i="20"/>
  <c r="AC14" i="20" l="1"/>
  <c r="AB14" i="20"/>
  <c r="AA14" i="20"/>
  <c r="Y14" i="20"/>
  <c r="X14" i="20"/>
  <c r="W14" i="20"/>
  <c r="T14" i="20"/>
  <c r="P14" i="20"/>
  <c r="K14" i="20"/>
  <c r="J14" i="20"/>
  <c r="I14" i="20"/>
  <c r="H14" i="20"/>
  <c r="G14" i="20"/>
  <c r="F14" i="20"/>
  <c r="E14" i="20"/>
  <c r="D14" i="20"/>
  <c r="B14" i="20"/>
  <c r="AC13" i="20"/>
  <c r="AB13" i="20"/>
  <c r="AA13" i="20"/>
  <c r="Y13" i="20"/>
  <c r="X13" i="20"/>
  <c r="W13" i="20"/>
  <c r="T13" i="20"/>
  <c r="P13" i="20"/>
  <c r="K13" i="20"/>
  <c r="J13" i="20"/>
  <c r="I13" i="20"/>
  <c r="H13" i="20"/>
  <c r="G13" i="20"/>
  <c r="F13" i="20"/>
  <c r="E13" i="20"/>
  <c r="D13" i="20"/>
  <c r="B13" i="20"/>
  <c r="AC12" i="20"/>
  <c r="AB12" i="20"/>
  <c r="AA12" i="20"/>
  <c r="Y12" i="20"/>
  <c r="X12" i="20"/>
  <c r="W12" i="20"/>
  <c r="T12" i="20"/>
  <c r="P12" i="20"/>
  <c r="K12" i="20"/>
  <c r="J12" i="20"/>
  <c r="I12" i="20"/>
  <c r="H12" i="20"/>
  <c r="G12" i="20"/>
  <c r="F12" i="20"/>
  <c r="E12" i="20"/>
  <c r="D12" i="20"/>
  <c r="B12" i="20"/>
  <c r="AC11" i="20"/>
  <c r="AB11" i="20"/>
  <c r="AA11" i="20"/>
  <c r="Y11" i="20"/>
  <c r="X11" i="20"/>
  <c r="W11" i="20"/>
  <c r="T11" i="20"/>
  <c r="P11" i="20"/>
  <c r="K11" i="20"/>
  <c r="J11" i="20"/>
  <c r="I11" i="20"/>
  <c r="H11" i="20"/>
  <c r="G11" i="20"/>
  <c r="F11" i="20"/>
  <c r="E11" i="20"/>
  <c r="D11" i="20"/>
  <c r="B11" i="20"/>
  <c r="AC10" i="20"/>
  <c r="AB10" i="20"/>
  <c r="AA10" i="20"/>
  <c r="Y10" i="20"/>
  <c r="X10" i="20"/>
  <c r="W10" i="20"/>
  <c r="T10" i="20"/>
  <c r="S10" i="20" s="1"/>
  <c r="P10" i="20"/>
  <c r="K10" i="20"/>
  <c r="J10" i="20"/>
  <c r="I10" i="20"/>
  <c r="H10" i="20"/>
  <c r="G10" i="20"/>
  <c r="F10" i="20"/>
  <c r="E10" i="20"/>
  <c r="D10" i="20"/>
  <c r="B10" i="20"/>
  <c r="AC9" i="20"/>
  <c r="AB9" i="20"/>
  <c r="AA9" i="20"/>
  <c r="Y9" i="20"/>
  <c r="X9" i="20"/>
  <c r="W9" i="20"/>
  <c r="T9" i="20"/>
  <c r="P9" i="20"/>
  <c r="G9" i="20"/>
  <c r="F9" i="20"/>
  <c r="E9" i="20"/>
  <c r="D9" i="20"/>
  <c r="B9" i="20"/>
  <c r="AC8" i="20"/>
  <c r="AB8" i="20"/>
  <c r="AA8" i="20"/>
  <c r="Y8" i="20"/>
  <c r="X8" i="20"/>
  <c r="W8" i="20"/>
  <c r="T8" i="20"/>
  <c r="P8" i="20"/>
  <c r="G8" i="20"/>
  <c r="F8" i="20"/>
  <c r="E8" i="20"/>
  <c r="D8" i="20"/>
  <c r="B8" i="20"/>
  <c r="AC7" i="20"/>
  <c r="AB7" i="20"/>
  <c r="AA7" i="20"/>
  <c r="Y7" i="20"/>
  <c r="X7" i="20"/>
  <c r="W7" i="20"/>
  <c r="T7" i="20"/>
  <c r="P7" i="20"/>
  <c r="K7" i="20"/>
  <c r="J7" i="20"/>
  <c r="I7" i="20"/>
  <c r="H7" i="20"/>
  <c r="G7" i="20"/>
  <c r="F7" i="20"/>
  <c r="E7" i="20"/>
  <c r="D7" i="20"/>
  <c r="B7" i="20"/>
  <c r="AC6" i="20"/>
  <c r="AB6" i="20"/>
  <c r="AA6" i="20"/>
  <c r="Y6" i="20"/>
  <c r="X6" i="20"/>
  <c r="W6" i="20"/>
  <c r="T6" i="20"/>
  <c r="P6" i="20"/>
  <c r="K6" i="20"/>
  <c r="J6" i="20"/>
  <c r="I6" i="20"/>
  <c r="H6" i="20"/>
  <c r="G6" i="20"/>
  <c r="F6" i="20"/>
  <c r="E6" i="20"/>
  <c r="D6" i="20"/>
  <c r="B6" i="20"/>
  <c r="AC5" i="20"/>
  <c r="AB5" i="20"/>
  <c r="AA5" i="20"/>
  <c r="Y5" i="20"/>
  <c r="X5" i="20"/>
  <c r="W5" i="20"/>
  <c r="T5" i="20"/>
  <c r="P5" i="20"/>
  <c r="K5" i="20"/>
  <c r="J5" i="20"/>
  <c r="H5" i="20"/>
  <c r="G5" i="20"/>
  <c r="F5" i="20"/>
  <c r="E5" i="20"/>
  <c r="D5" i="20"/>
  <c r="B5" i="20"/>
  <c r="AC4" i="20"/>
  <c r="AB4" i="20"/>
  <c r="AA4" i="20"/>
  <c r="Y4" i="20"/>
  <c r="W4" i="20"/>
  <c r="T4" i="20"/>
  <c r="P4" i="20"/>
  <c r="K4" i="20"/>
  <c r="J4" i="20"/>
  <c r="I4" i="20"/>
  <c r="H4" i="20"/>
  <c r="G4" i="20"/>
  <c r="F4" i="20"/>
  <c r="E4" i="20"/>
  <c r="D4" i="20"/>
  <c r="B4" i="20"/>
  <c r="AC3" i="20"/>
  <c r="AB3" i="20"/>
  <c r="AA3" i="20"/>
  <c r="Y3" i="20"/>
  <c r="W3" i="20"/>
  <c r="T3" i="20"/>
  <c r="P3" i="20"/>
  <c r="K3" i="20"/>
  <c r="J3" i="20"/>
  <c r="I3" i="20"/>
  <c r="H3" i="20"/>
  <c r="G3" i="20"/>
  <c r="F3" i="20"/>
  <c r="E3" i="20"/>
  <c r="D3" i="20"/>
  <c r="B3" i="20"/>
  <c r="Z9" i="20" l="1"/>
  <c r="Z7" i="20"/>
  <c r="Z5" i="20"/>
  <c r="Z11" i="20"/>
  <c r="Z13" i="20"/>
  <c r="Z3" i="20"/>
  <c r="Z4" i="20"/>
  <c r="Z6" i="20"/>
  <c r="Z8" i="20"/>
  <c r="Z10" i="20"/>
  <c r="Z12" i="20"/>
  <c r="Z14" i="20"/>
  <c r="AB15" i="20"/>
  <c r="S8" i="20"/>
  <c r="S12" i="20"/>
  <c r="L5" i="20"/>
  <c r="L7" i="20"/>
  <c r="L11" i="20"/>
  <c r="L13" i="20"/>
  <c r="L3" i="20"/>
  <c r="L4" i="20"/>
  <c r="L6" i="20"/>
  <c r="L8" i="20"/>
  <c r="L10" i="20"/>
  <c r="L12" i="20"/>
  <c r="L14" i="20"/>
  <c r="S4" i="20"/>
  <c r="S6" i="20"/>
  <c r="S7" i="20"/>
  <c r="B15" i="20"/>
  <c r="D15" i="20"/>
  <c r="F15" i="20"/>
  <c r="H15" i="20"/>
  <c r="J15" i="20"/>
  <c r="O15" i="20"/>
  <c r="R15" i="20"/>
  <c r="Y15" i="20"/>
  <c r="AA15" i="20"/>
  <c r="AC15" i="20"/>
  <c r="S11" i="20"/>
  <c r="X15" i="20"/>
  <c r="C15" i="20"/>
  <c r="E15" i="20"/>
  <c r="G15" i="20"/>
  <c r="I15" i="20"/>
  <c r="K15" i="20"/>
  <c r="P15" i="20"/>
  <c r="Q15" i="20"/>
  <c r="T15" i="20"/>
  <c r="W15" i="20"/>
  <c r="S5" i="20"/>
  <c r="S9" i="20"/>
  <c r="S13" i="20"/>
  <c r="S14" i="20"/>
  <c r="S3" i="20"/>
  <c r="B14" i="1"/>
  <c r="C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B14" i="1"/>
  <c r="AC14" i="1"/>
  <c r="AD14" i="1"/>
  <c r="AE14" i="1"/>
  <c r="AF14" i="1"/>
  <c r="B13" i="1"/>
  <c r="C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B13" i="1"/>
  <c r="AC13" i="1"/>
  <c r="AD13" i="1"/>
  <c r="AE13" i="1"/>
  <c r="AF13" i="1"/>
  <c r="B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B12" i="1"/>
  <c r="AC12" i="1"/>
  <c r="AD12" i="1"/>
  <c r="AE12" i="1"/>
  <c r="AF12" i="1"/>
  <c r="B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B11" i="1"/>
  <c r="AC11" i="1"/>
  <c r="AD11" i="1"/>
  <c r="AE11" i="1"/>
  <c r="AF11" i="1"/>
  <c r="B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B10" i="1"/>
  <c r="AC10" i="1"/>
  <c r="AD10" i="1"/>
  <c r="AE10" i="1"/>
  <c r="AF10" i="1"/>
  <c r="B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B9" i="1"/>
  <c r="AC9" i="1"/>
  <c r="AD9" i="1"/>
  <c r="AE9" i="1"/>
  <c r="AF9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B8" i="1"/>
  <c r="AC8" i="1"/>
  <c r="AD8" i="1"/>
  <c r="AE8" i="1"/>
  <c r="AF8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B7" i="1"/>
  <c r="AC7" i="1"/>
  <c r="AD7" i="1"/>
  <c r="AE7" i="1"/>
  <c r="AF7" i="1"/>
  <c r="C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B6" i="1"/>
  <c r="AC6" i="1"/>
  <c r="AD6" i="1"/>
  <c r="AE6" i="1"/>
  <c r="AF6" i="1"/>
  <c r="G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B5" i="1"/>
  <c r="AC5" i="1"/>
  <c r="AD5" i="1"/>
  <c r="AE5" i="1"/>
  <c r="AF5" i="1"/>
  <c r="G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B4" i="1"/>
  <c r="AC4" i="1"/>
  <c r="AD4" i="1"/>
  <c r="AE4" i="1"/>
  <c r="AF4" i="1"/>
  <c r="G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B3" i="1"/>
  <c r="AC3" i="1"/>
  <c r="AD3" i="1"/>
  <c r="AE3" i="1"/>
  <c r="AF3" i="1"/>
  <c r="Z15" i="20" l="1"/>
  <c r="L15" i="1"/>
  <c r="U15" i="1"/>
  <c r="P15" i="1"/>
  <c r="O15" i="1"/>
  <c r="Z15" i="1"/>
  <c r="Q15" i="1"/>
  <c r="T15" i="1"/>
  <c r="R15" i="1"/>
  <c r="L15" i="20"/>
  <c r="M15" i="1"/>
  <c r="K15" i="1"/>
  <c r="B15" i="1"/>
  <c r="G15" i="1"/>
  <c r="X15" i="1"/>
  <c r="AD15" i="1"/>
  <c r="Y15" i="1"/>
  <c r="S15" i="1"/>
  <c r="V15" i="1"/>
  <c r="AE15" i="1"/>
  <c r="AC15" i="1"/>
  <c r="N15" i="1"/>
  <c r="AF15" i="1"/>
  <c r="W15" i="1"/>
  <c r="AB15" i="1"/>
  <c r="C15" i="1"/>
  <c r="S15" i="20"/>
  <c r="J15" i="1"/>
  <c r="I5" i="1" l="1"/>
  <c r="F5" i="1"/>
  <c r="H5" i="1"/>
  <c r="I4" i="1" l="1"/>
  <c r="F4" i="1"/>
  <c r="H4" i="1"/>
  <c r="I3" i="1" l="1"/>
  <c r="I15" i="1" s="1"/>
  <c r="F3" i="1"/>
  <c r="F15" i="1" s="1"/>
  <c r="H3" i="1"/>
  <c r="H15" i="1" s="1"/>
  <c r="G217" i="17" l="1"/>
  <c r="G216" i="17"/>
  <c r="G215" i="17"/>
  <c r="G214" i="17"/>
  <c r="G212" i="17"/>
  <c r="G211" i="17"/>
  <c r="G210" i="17"/>
  <c r="G209" i="17"/>
  <c r="G208" i="17"/>
  <c r="G193" i="17"/>
  <c r="G194" i="17"/>
  <c r="G202" i="17"/>
  <c r="G201" i="17"/>
  <c r="G200" i="17"/>
  <c r="G199" i="17"/>
  <c r="G197" i="17"/>
  <c r="G196" i="17"/>
  <c r="G195" i="17"/>
  <c r="G178" i="17"/>
  <c r="G182" i="17"/>
  <c r="G181" i="17"/>
  <c r="G180" i="17"/>
  <c r="G179" i="17"/>
  <c r="G187" i="17"/>
  <c r="G186" i="17"/>
  <c r="G185" i="17"/>
  <c r="G184" i="17"/>
  <c r="G8" i="17" l="1"/>
  <c r="G9" i="17"/>
  <c r="G155" i="17"/>
  <c r="G154" i="17"/>
  <c r="G153" i="17"/>
  <c r="G152" i="17"/>
  <c r="G150" i="17"/>
  <c r="G149" i="17"/>
  <c r="G148" i="17"/>
  <c r="G147" i="17"/>
  <c r="G146" i="17"/>
  <c r="G31" i="17"/>
  <c r="G30" i="17"/>
  <c r="G29" i="17"/>
  <c r="G28" i="17"/>
  <c r="G26" i="17"/>
  <c r="G25" i="17"/>
  <c r="G24" i="17"/>
  <c r="G23" i="17"/>
  <c r="G22" i="17"/>
  <c r="G17" i="17"/>
  <c r="G16" i="17"/>
  <c r="G15" i="17"/>
  <c r="G14" i="17"/>
  <c r="G12" i="17"/>
  <c r="G11" i="17"/>
  <c r="G10" i="17"/>
  <c r="G36" i="17"/>
  <c r="G37" i="17"/>
  <c r="G38" i="17"/>
  <c r="G39" i="17"/>
  <c r="G40" i="17"/>
  <c r="G42" i="17"/>
  <c r="G43" i="17"/>
  <c r="G44" i="17"/>
  <c r="G45" i="17"/>
  <c r="G231" i="17"/>
  <c r="G230" i="17"/>
  <c r="G229" i="17"/>
  <c r="G228" i="17"/>
  <c r="G226" i="17"/>
  <c r="G225" i="17"/>
  <c r="G224" i="17"/>
  <c r="G223" i="17"/>
  <c r="G222" i="17"/>
  <c r="G78" i="17"/>
  <c r="G77" i="17"/>
  <c r="G76" i="17"/>
  <c r="G75" i="17"/>
  <c r="G73" i="17"/>
  <c r="G72" i="17"/>
  <c r="G71" i="17"/>
  <c r="G70" i="17"/>
  <c r="G69" i="17"/>
  <c r="G61" i="17"/>
  <c r="G60" i="17"/>
  <c r="G59" i="17"/>
  <c r="G58" i="17"/>
  <c r="G56" i="17"/>
  <c r="G55" i="17"/>
  <c r="G54" i="17"/>
  <c r="G53" i="17"/>
  <c r="G52" i="17"/>
</calcChain>
</file>

<file path=xl/comments1.xml><?xml version="1.0" encoding="utf-8"?>
<comments xmlns="http://schemas.openxmlformats.org/spreadsheetml/2006/main">
  <authors>
    <author>Tomáš Fedor</author>
    <author>Peter Fedor</author>
  </authors>
  <commentList>
    <comment ref="G2" authorId="0" shapeId="0">
      <text>
        <r>
          <rPr>
            <b/>
            <sz val="9"/>
            <color indexed="81"/>
            <rFont val="Tahoma"/>
            <charset val="1"/>
          </rPr>
          <t>Nad pozorovacím miestom</t>
        </r>
      </text>
    </comment>
    <comment ref="D104" authorId="0" shapeId="0">
      <text>
        <r>
          <rPr>
            <b/>
            <sz val="9"/>
            <color indexed="81"/>
            <rFont val="Tahoma"/>
            <charset val="1"/>
          </rPr>
          <t>podružný studený front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06" authorId="0" shapeId="0">
      <text>
        <r>
          <rPr>
            <b/>
            <sz val="9"/>
            <color indexed="81"/>
            <rFont val="Tahoma"/>
            <charset val="1"/>
          </rPr>
          <t>Podružný studený front</t>
        </r>
      </text>
    </comment>
    <comment ref="J112" authorId="0" shapeId="0">
      <text>
        <r>
          <rPr>
            <b/>
            <sz val="9"/>
            <color indexed="81"/>
            <rFont val="Tahoma"/>
            <charset val="1"/>
          </rPr>
          <t>Hrebeň 15,3 m/s v 2m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233" authorId="1" shapeId="0">
      <text>
        <r>
          <rPr>
            <b/>
            <sz val="9"/>
            <color indexed="81"/>
            <rFont val="Tahoma"/>
            <family val="2"/>
            <charset val="238"/>
          </rPr>
          <t>maximálny náraz vetra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34" authorId="1" shapeId="0">
      <text>
        <r>
          <rPr>
            <b/>
            <sz val="9"/>
            <color indexed="81"/>
            <rFont val="Tahoma"/>
            <family val="2"/>
            <charset val="238"/>
          </rPr>
          <t>Priemer vetra v čase výskytu búrky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35" authorId="1" shapeId="0">
      <text>
        <r>
          <rPr>
            <b/>
            <sz val="9"/>
            <color indexed="81"/>
            <rFont val="Tahoma"/>
            <family val="2"/>
            <charset val="238"/>
          </rPr>
          <t>celkové množstvo zrážok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36" authorId="1" shapeId="0">
      <text>
        <r>
          <rPr>
            <b/>
            <sz val="9"/>
            <color indexed="81"/>
            <rFont val="Tahoma"/>
            <family val="2"/>
            <charset val="238"/>
          </rPr>
          <t>maximálna intenzita zrážok</t>
        </r>
      </text>
    </comment>
    <comment ref="A237" authorId="1" shapeId="0">
      <text>
        <r>
          <rPr>
            <b/>
            <sz val="9"/>
            <color indexed="81"/>
            <rFont val="Tahoma"/>
            <family val="2"/>
            <charset val="238"/>
          </rPr>
          <t>maximálny priemer krúp/výška napadnutej vrstvy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38" authorId="1" shapeId="0">
      <text>
        <r>
          <rPr>
            <b/>
            <sz val="9"/>
            <color indexed="81"/>
            <rFont val="Tahoma"/>
            <family val="2"/>
            <charset val="238"/>
          </rPr>
          <t>množstvo novonapadnutého snehu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39" authorId="1" shapeId="0">
      <text>
        <r>
          <rPr>
            <b/>
            <sz val="9"/>
            <color indexed="81"/>
            <rFont val="Tahoma"/>
            <family val="2"/>
            <charset val="238"/>
          </rPr>
          <t>počet bleskov podľa detekcie blitzortung (vzdialenosť úderu pod 20 km od pozorovacieho miesta)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0" authorId="1" shapeId="0">
      <text>
        <r>
          <rPr>
            <b/>
            <sz val="9"/>
            <color indexed="81"/>
            <rFont val="Tahoma"/>
            <family val="2"/>
            <charset val="238"/>
          </rPr>
          <t>približná maximálna odrazivosť bunky na radare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Peter Fedor</author>
    <author>Tomáš Fedor</author>
  </authors>
  <commentList>
    <comment ref="A2" authorId="0" shapeId="0">
      <text>
        <r>
          <rPr>
            <sz val="9"/>
            <color indexed="81"/>
            <rFont val="Tahoma"/>
            <family val="2"/>
            <charset val="238"/>
          </rPr>
          <t xml:space="preserve">časy sú v letnom a zimnom (miestnom) čase
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>Najvyššia nameraná teplota počas mesiaca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38"/>
          </rPr>
          <t>Najnižšia nameraná teplota počas mesiaca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Najvyššia amplitúda teploty vzduchu
</t>
        </r>
      </text>
    </comment>
    <comment ref="E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Najnižšia amplitúda teploty vzduchu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Priemerná teplota 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38"/>
          </rPr>
          <t>Priemerná teplota (priemer údajov zapísaných v intervale 1 minúta)</t>
        </r>
      </text>
    </comment>
    <comment ref="H2" authorId="1" shapeId="0">
      <text>
        <r>
          <rPr>
            <b/>
            <sz val="9"/>
            <color indexed="81"/>
            <rFont val="Tahoma"/>
            <family val="2"/>
            <charset val="238"/>
          </rPr>
          <t>Najvyššia priemerná denná teplota vzduchu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  <charset val="238"/>
          </rPr>
          <t>Najnižšia priemerná denná teplota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38"/>
          </rPr>
          <t>Maximálna nameraná teplota rosného bodu počas mesiaca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  <charset val="238"/>
          </rPr>
          <t>Minimálna nameraná teplota rosného bodu počas mesiaca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  <charset val="238"/>
          </rPr>
          <t>Priemerná teplota rosného bodu (priemer údajov zapísaných v intervale 5 minút)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  <charset val="238"/>
          </rPr>
          <t>Najvyššia vlhkosť vzduchu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  <charset val="238"/>
          </rPr>
          <t>Najnižšia vlhkosť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  <charset val="238"/>
          </rPr>
          <t>priemerná vlhkosť vzduchu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  <charset val="238"/>
          </rPr>
          <t>Najvyššia hodnota tlaku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2" authorId="0" shapeId="0">
      <text>
        <r>
          <rPr>
            <b/>
            <sz val="9"/>
            <color indexed="81"/>
            <rFont val="Tahoma"/>
            <family val="2"/>
            <charset val="238"/>
          </rPr>
          <t>Najnižšia hodnota tlaku vzduchu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  <charset val="238"/>
          </rPr>
          <t>Priemerná hodnota tlaku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  <charset val="238"/>
          </rPr>
          <t>Najvyšší zaznamenaný náraz vetra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2" authorId="1" shapeId="0">
      <text>
        <r>
          <rPr>
            <b/>
            <sz val="9"/>
            <color indexed="81"/>
            <rFont val="Tahoma"/>
            <family val="2"/>
            <charset val="238"/>
          </rPr>
          <t>Najvyššia rýchlosť vetra (10 minútový priemer).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2" authorId="0" shapeId="0">
      <text>
        <r>
          <rPr>
            <b/>
            <sz val="9"/>
            <color indexed="81"/>
            <rFont val="Tahoma"/>
            <family val="2"/>
            <charset val="238"/>
          </rPr>
          <t>Priemerná rýchlosť vetra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Najvyššia priemerná rýchlosť vetra behom 24 hod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Najnižšia priemerná rýchlosť vetra behom 24 hod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2" authorId="0" shapeId="0">
      <text>
        <r>
          <rPr>
            <b/>
            <sz val="9"/>
            <color indexed="81"/>
            <rFont val="Tahoma"/>
            <family val="2"/>
            <charset val="238"/>
          </rPr>
          <t>smer vetra</t>
        </r>
      </text>
    </comment>
    <comment ref="AB2" authorId="0" shapeId="0">
      <text>
        <r>
          <rPr>
            <b/>
            <sz val="9"/>
            <color indexed="81"/>
            <rFont val="Tahoma"/>
            <family val="2"/>
            <charset val="238"/>
          </rPr>
          <t>Najvyššia intenzita zrážok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C2" authorId="0" shapeId="0">
      <text>
        <r>
          <rPr>
            <b/>
            <sz val="9"/>
            <color indexed="81"/>
            <rFont val="Tahoma"/>
            <family val="2"/>
            <charset val="238"/>
          </rPr>
          <t>najvyšší úhrn zrážok v jeden deň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2" authorId="0" shapeId="0">
      <text>
        <r>
          <rPr>
            <b/>
            <sz val="9"/>
            <color indexed="81"/>
            <rFont val="Tahoma"/>
            <family val="2"/>
            <charset val="238"/>
          </rPr>
          <t>Celkové množstvo zrážok</t>
        </r>
      </text>
    </comment>
    <comment ref="AE2" authorId="0" shapeId="0">
      <text>
        <r>
          <rPr>
            <b/>
            <sz val="9"/>
            <color indexed="81"/>
            <rFont val="Tahoma"/>
            <family val="2"/>
            <charset val="238"/>
          </rPr>
          <t>najväčšie množstvo snehu napadnutého behom 24 hodín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F2" authorId="0" shapeId="0">
      <text>
        <r>
          <rPr>
            <b/>
            <sz val="9"/>
            <color indexed="81"/>
            <rFont val="Tahoma"/>
            <family val="2"/>
            <charset val="238"/>
          </rPr>
          <t>Najväčšia výška snehovej pokrývky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Peter Fedor</author>
    <author>Tomáš Fedor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>deň s výskytom teplotného maxima nižšieho ako -10°C.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38"/>
          </rPr>
          <t>deň s výskytom najvyššej teploty vzduchu nižšej ako 0°C (celodenný mráz).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  <charset val="238"/>
          </rPr>
          <t>deň s výskytom teploty nižšej ako 0 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  <charset val="238"/>
          </rPr>
          <t>deň s najvyššou teplotou vzduchu presahujúcou 25°C.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>deň s najvyššou teplotou vzduchu presahujúcou 30°C.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38"/>
          </rPr>
          <t>noc, počas ktorej najnižšia teplota vzduchu presiahne 20 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  <charset val="238"/>
          </rPr>
          <t>Búrkové dni (počuteľný hrom)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  <charset val="238"/>
          </rPr>
          <t>búrka vzdialená menej ako 3 km od pozorovacieho miesta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38"/>
          </rPr>
          <t>búrky vzdielené 3-5 km od pozorovacieho miesta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  <charset val="238"/>
          </rPr>
          <t>búrky vzdielené 5-15 km od pozorovacieho miesta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  <charset val="238"/>
          </rPr>
          <t>všetky búrky</t>
        </r>
      </text>
    </comment>
    <comment ref="M2" authorId="1" shapeId="0">
      <text>
        <r>
          <rPr>
            <b/>
            <sz val="9"/>
            <color indexed="81"/>
            <rFont val="Tahoma"/>
            <charset val="1"/>
          </rPr>
          <t>Dohľadnosť 1-10 km vplyvom rozptýlených tuhých častíc v ovzduší. Relatívna vlhkosť je nižšia ako 70%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" authorId="1" shapeId="0">
      <text>
        <r>
          <rPr>
            <b/>
            <sz val="9"/>
            <color indexed="81"/>
            <rFont val="Tahoma"/>
            <family val="2"/>
            <charset val="238"/>
          </rPr>
          <t>Dohľadnosť 1-10 km vplyvom rozptýlených častíc vodnej pary. Relatívna vlhkosť je vyššia ako 70%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  <charset val="238"/>
          </rPr>
          <t>Deň s dohľadnosťou nižšou ako 1 km.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  <charset val="238"/>
          </rPr>
          <t>6 hod nepretržitý slnečný svit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38"/>
          </rPr>
          <t>( 0/8 pokrytie oblohy oblačnosťou)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  <charset val="238"/>
          </rPr>
          <t>Deň so zamračenou oblohou (8/8 pokrytie oblohy oblačnosťou)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  <charset val="238"/>
          </rPr>
          <t>výskyt akéhokoľvek typu zrážok v daný deň</t>
        </r>
      </text>
    </comment>
    <comment ref="T2" authorId="0" shapeId="0">
      <text>
        <r>
          <rPr>
            <b/>
            <sz val="9"/>
            <color indexed="81"/>
            <rFont val="Tahoma"/>
            <family val="2"/>
            <charset val="238"/>
          </rPr>
          <t>nemerateľné (malé) množstvo zrážok (&lt;0.1 mm)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  <charset val="238"/>
          </rPr>
          <t>merateľné zrážky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2" authorId="1" shapeId="0">
      <text>
        <r>
          <rPr>
            <b/>
            <sz val="9"/>
            <color indexed="81"/>
            <rFont val="Tahoma"/>
            <charset val="1"/>
          </rPr>
          <t>Merateľné usadené zrážky</t>
        </r>
      </text>
    </comment>
    <comment ref="W2" authorId="0" shapeId="0">
      <text>
        <r>
          <rPr>
            <b/>
            <sz val="9"/>
            <color indexed="81"/>
            <rFont val="Tahoma"/>
            <family val="2"/>
            <charset val="238"/>
          </rPr>
          <t>výskyt kvapalných zrážok v daný deň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2" authorId="0" shapeId="0">
      <text>
        <r>
          <rPr>
            <b/>
            <sz val="9"/>
            <color indexed="81"/>
            <rFont val="Tahoma"/>
            <family val="2"/>
            <charset val="238"/>
          </rPr>
          <t>výskyt krupobita - Ľadové zrážky s priemerom nad 5 mm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38"/>
          </rPr>
          <t>výskyt sneženia, zmrznutého dažďa alebo snehových zŕn v daný deň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2" authorId="1" shapeId="0">
      <text>
        <r>
          <rPr>
            <b/>
            <sz val="9"/>
            <color indexed="81"/>
            <rFont val="Tahoma"/>
            <family val="2"/>
            <charset val="238"/>
          </rPr>
          <t>Poprašok, SSP a NSP</t>
        </r>
      </text>
    </comment>
    <comment ref="AA2" authorId="1" shapeId="0">
      <text>
        <r>
          <rPr>
            <b/>
            <sz val="9"/>
            <color indexed="81"/>
            <rFont val="Tahoma"/>
            <family val="2"/>
            <charset val="238"/>
          </rPr>
          <t>Súvislá snehová pokrývka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B2" authorId="1" shapeId="0">
      <text>
        <r>
          <rPr>
            <b/>
            <sz val="9"/>
            <color indexed="81"/>
            <rFont val="Tahoma"/>
            <family val="2"/>
            <charset val="238"/>
          </rPr>
          <t>Nesúvislá snehová pokrývka
- menej ako 1/2 plochy v okolí pozorovacieho miesta pokrytá snehom.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C2" authorId="1" shapeId="0">
      <text>
        <r>
          <rPr>
            <b/>
            <sz val="9"/>
            <color indexed="81"/>
            <rFont val="Tahoma"/>
            <family val="2"/>
            <charset val="238"/>
          </rPr>
          <t>Snehová pokrývka nižšia ako 0.5 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<sst xmlns="http://schemas.openxmlformats.org/spreadsheetml/2006/main" count="1728" uniqueCount="487">
  <si>
    <t>Dátum</t>
  </si>
  <si>
    <t>Mesiac</t>
  </si>
  <si>
    <t>Teplota vzduchu</t>
  </si>
  <si>
    <r>
      <t>T</t>
    </r>
    <r>
      <rPr>
        <sz val="8"/>
        <color theme="1"/>
        <rFont val="Calibri"/>
        <family val="2"/>
        <charset val="238"/>
        <scheme val="minor"/>
      </rPr>
      <t>max</t>
    </r>
  </si>
  <si>
    <r>
      <t>T</t>
    </r>
    <r>
      <rPr>
        <sz val="8"/>
        <color theme="1"/>
        <rFont val="Calibri"/>
        <family val="2"/>
        <charset val="238"/>
        <scheme val="minor"/>
      </rPr>
      <t>min</t>
    </r>
  </si>
  <si>
    <t>Rosný bod</t>
  </si>
  <si>
    <r>
      <t>T</t>
    </r>
    <r>
      <rPr>
        <sz val="8"/>
        <color theme="1"/>
        <rFont val="Calibri"/>
        <family val="2"/>
        <charset val="238"/>
        <scheme val="minor"/>
      </rPr>
      <t>pr.</t>
    </r>
  </si>
  <si>
    <t>Tlak vzduchu</t>
  </si>
  <si>
    <r>
      <t>P</t>
    </r>
    <r>
      <rPr>
        <sz val="8"/>
        <color theme="1"/>
        <rFont val="Calibri"/>
        <family val="2"/>
        <charset val="238"/>
        <scheme val="minor"/>
      </rPr>
      <t>max</t>
    </r>
  </si>
  <si>
    <r>
      <t>P</t>
    </r>
    <r>
      <rPr>
        <sz val="8"/>
        <color theme="1"/>
        <rFont val="Calibri"/>
        <family val="2"/>
        <charset val="238"/>
        <scheme val="minor"/>
      </rPr>
      <t>min</t>
    </r>
  </si>
  <si>
    <t>Vietor</t>
  </si>
  <si>
    <t>max náraz</t>
  </si>
  <si>
    <t>pr. Rýchlosť</t>
  </si>
  <si>
    <t>pr. Smer</t>
  </si>
  <si>
    <t>Zrážky</t>
  </si>
  <si>
    <t>typ</t>
  </si>
  <si>
    <t>intenzita</t>
  </si>
  <si>
    <t>množstvo</t>
  </si>
  <si>
    <t>sneh. Pokrývka</t>
  </si>
  <si>
    <t>Oblačnosť, ostatné javy</t>
  </si>
  <si>
    <r>
      <t>Td</t>
    </r>
    <r>
      <rPr>
        <sz val="8"/>
        <color theme="1"/>
        <rFont val="Calibri"/>
        <family val="2"/>
        <charset val="238"/>
        <scheme val="minor"/>
      </rPr>
      <t>max</t>
    </r>
  </si>
  <si>
    <r>
      <t>Td</t>
    </r>
    <r>
      <rPr>
        <sz val="8"/>
        <color theme="1"/>
        <rFont val="Calibri"/>
        <family val="2"/>
        <charset val="238"/>
        <scheme val="minor"/>
      </rPr>
      <t>min</t>
    </r>
  </si>
  <si>
    <t>max. intenzita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</si>
  <si>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</si>
  <si>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</si>
  <si>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</si>
  <si>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</si>
  <si>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</si>
  <si>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</si>
  <si>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</si>
  <si>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</si>
  <si>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</si>
  <si>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</si>
  <si>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</si>
  <si>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</si>
  <si>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Vlhkosť vzduchu</t>
  </si>
  <si>
    <t>Vlhkosť</t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</si>
  <si>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min.</t>
    </r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</si>
  <si>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max.</t>
    </r>
  </si>
  <si>
    <r>
      <t>H</t>
    </r>
    <r>
      <rPr>
        <sz val="8"/>
        <color theme="1"/>
        <rFont val="Calibri"/>
        <family val="2"/>
        <charset val="238"/>
        <scheme val="minor"/>
      </rPr>
      <t>min</t>
    </r>
  </si>
  <si>
    <r>
      <t>H</t>
    </r>
    <r>
      <rPr>
        <sz val="8"/>
        <color theme="1"/>
        <rFont val="Calibri"/>
        <family val="2"/>
        <charset val="238"/>
        <scheme val="minor"/>
      </rPr>
      <t>max</t>
    </r>
  </si>
  <si>
    <t>priem. Rýchlosť</t>
  </si>
  <si>
    <t>krúpy</t>
  </si>
  <si>
    <t>max pr. Rýchlosť</t>
  </si>
  <si>
    <t>max rýchlosť</t>
  </si>
  <si>
    <t>10 m/s &lt;=&gt; 15 m/s</t>
  </si>
  <si>
    <t>15 m/s &lt;=&gt; 20 m/s</t>
  </si>
  <si>
    <t>20 m/s &lt;=&gt; 25 m/s</t>
  </si>
  <si>
    <t>0 m/s &lt;=&gt; 5 m/s</t>
  </si>
  <si>
    <t>zrážky:</t>
  </si>
  <si>
    <t>intenzita:</t>
  </si>
  <si>
    <t>0 mm &lt;=&gt; 5 mm</t>
  </si>
  <si>
    <t>5 mm &lt;=&gt; 10 mm</t>
  </si>
  <si>
    <t>10 mm &lt;=&gt; 15 mm</t>
  </si>
  <si>
    <t>15 mm &lt;=&gt; 30 mm</t>
  </si>
  <si>
    <t>30 mm &lt;=&gt; 45 mm</t>
  </si>
  <si>
    <t>45 mm &lt;=&gt; 60 mm</t>
  </si>
  <si>
    <t>60 mm &lt;=&gt; 80 mm</t>
  </si>
  <si>
    <t>80 mm &lt;</t>
  </si>
  <si>
    <t>0 mm/h &lt;=&gt; 5 mm/h</t>
  </si>
  <si>
    <t>5 mm/h &lt;=&gt; 15 mm/h</t>
  </si>
  <si>
    <t>15 mm/h &lt;=&gt; 30 mm/h</t>
  </si>
  <si>
    <t>30 mm/h &lt;=&gt; 50 mm/h</t>
  </si>
  <si>
    <t>0 cm &lt;=&gt; 1 cm</t>
  </si>
  <si>
    <t>1cm &lt;=&gt; 3cm</t>
  </si>
  <si>
    <t>3 cm &lt;=&gt; 5 cm</t>
  </si>
  <si>
    <t>10 cm &lt;=&gt; 15 cm</t>
  </si>
  <si>
    <t>15 cm &lt;=&gt; 20 cm</t>
  </si>
  <si>
    <t>20 cm &lt;=&gt; 30 cm</t>
  </si>
  <si>
    <t>30 cm &lt;</t>
  </si>
  <si>
    <t>sneh:</t>
  </si>
  <si>
    <t>krúpy:</t>
  </si>
  <si>
    <t>15 mm &lt;=&gt; 20 mm</t>
  </si>
  <si>
    <t>20 mm &lt;=&gt; 30 mm</t>
  </si>
  <si>
    <t>40 mm &lt;=&gt; 50 mm</t>
  </si>
  <si>
    <t>30 mm &lt;=&gt;  40 mm</t>
  </si>
  <si>
    <t>50 mm &lt;</t>
  </si>
  <si>
    <t>Vysvetlivky:</t>
  </si>
  <si>
    <t>0 mm</t>
  </si>
  <si>
    <t>0 mm/h</t>
  </si>
  <si>
    <t>0 cm</t>
  </si>
  <si>
    <t>150 mm/h &lt;</t>
  </si>
  <si>
    <t>50 mm/h &lt;=&gt; 90 mm/h</t>
  </si>
  <si>
    <t>90 mm/h &lt;=&gt; 150 mm/h</t>
  </si>
  <si>
    <r>
      <t>P</t>
    </r>
    <r>
      <rPr>
        <sz val="8"/>
        <color theme="1"/>
        <rFont val="Calibri"/>
        <family val="2"/>
        <charset val="238"/>
        <scheme val="minor"/>
      </rPr>
      <t>pr. (5 min)</t>
    </r>
  </si>
  <si>
    <r>
      <t>H</t>
    </r>
    <r>
      <rPr>
        <sz val="8"/>
        <color theme="1"/>
        <rFont val="Calibri"/>
        <family val="2"/>
        <charset val="238"/>
        <scheme val="minor"/>
      </rPr>
      <t>pr.5min</t>
    </r>
  </si>
  <si>
    <r>
      <t>T</t>
    </r>
    <r>
      <rPr>
        <sz val="8"/>
        <color theme="1"/>
        <rFont val="Calibri"/>
        <family val="2"/>
        <charset val="238"/>
        <scheme val="minor"/>
      </rPr>
      <t>dpr.5min</t>
    </r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</si>
  <si>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pr. 5 min</t>
    </r>
  </si>
  <si>
    <r>
      <t>Td</t>
    </r>
    <r>
      <rPr>
        <sz val="10"/>
        <color theme="1"/>
        <rFont val="Calibri"/>
        <family val="2"/>
        <charset val="238"/>
        <scheme val="minor"/>
      </rPr>
      <t>pr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sz val="8"/>
        <color theme="1"/>
        <rFont val="Calibri"/>
        <family val="2"/>
        <charset val="238"/>
        <scheme val="minor"/>
      </rPr>
      <t>5 min</t>
    </r>
  </si>
  <si>
    <r>
      <t>P</t>
    </r>
    <r>
      <rPr>
        <sz val="8"/>
        <color theme="1"/>
        <rFont val="Calibri"/>
        <family val="2"/>
        <charset val="238"/>
        <scheme val="minor"/>
      </rPr>
      <t>pr. 5 min</t>
    </r>
  </si>
  <si>
    <r>
      <t>T</t>
    </r>
    <r>
      <rPr>
        <sz val="8"/>
        <color theme="1"/>
        <rFont val="Calibri"/>
        <family val="2"/>
        <charset val="238"/>
        <scheme val="minor"/>
      </rPr>
      <t>pr.1min</t>
    </r>
  </si>
  <si>
    <t>nový sneh</t>
  </si>
  <si>
    <r>
      <t>T</t>
    </r>
    <r>
      <rPr>
        <sz val="8"/>
        <color theme="1"/>
        <rFont val="Calibri"/>
        <family val="2"/>
        <charset val="238"/>
        <scheme val="minor"/>
      </rPr>
      <t>pr. 1 min</t>
    </r>
  </si>
  <si>
    <r>
      <t>T</t>
    </r>
    <r>
      <rPr>
        <sz val="8"/>
        <color theme="1"/>
        <rFont val="Calibri"/>
        <family val="2"/>
        <charset val="238"/>
        <scheme val="minor"/>
      </rPr>
      <t>20:34</t>
    </r>
  </si>
  <si>
    <r>
      <t>T</t>
    </r>
    <r>
      <rPr>
        <sz val="8"/>
        <color theme="1"/>
        <rFont val="Calibri"/>
        <family val="2"/>
        <charset val="238"/>
        <scheme val="minor"/>
      </rPr>
      <t>13:34</t>
    </r>
  </si>
  <si>
    <r>
      <t>T</t>
    </r>
    <r>
      <rPr>
        <sz val="8"/>
        <color theme="1"/>
        <rFont val="Calibri"/>
        <family val="2"/>
        <charset val="238"/>
        <scheme val="minor"/>
      </rPr>
      <t>6:34</t>
    </r>
  </si>
  <si>
    <t>min pr. Rýchlosť</t>
  </si>
  <si>
    <t>Tropické noci</t>
  </si>
  <si>
    <t>Letné dni</t>
  </si>
  <si>
    <t>Tropické dni</t>
  </si>
  <si>
    <t>Mrazové dni</t>
  </si>
  <si>
    <t>Ľadové dni</t>
  </si>
  <si>
    <t>Arktické dni</t>
  </si>
  <si>
    <t>Búrky</t>
  </si>
  <si>
    <t>Rozdelenie dní podľa teploty vzduchu</t>
  </si>
  <si>
    <t>búrky</t>
  </si>
  <si>
    <t>Marec:</t>
  </si>
  <si>
    <t>Apríl:</t>
  </si>
  <si>
    <t>Máj:</t>
  </si>
  <si>
    <t>Február:</t>
  </si>
  <si>
    <t>Január:</t>
  </si>
  <si>
    <t>Júl:</t>
  </si>
  <si>
    <t>Jún:</t>
  </si>
  <si>
    <t>August:</t>
  </si>
  <si>
    <t>September:</t>
  </si>
  <si>
    <t>vzd. búrky</t>
  </si>
  <si>
    <t>blízke búrky</t>
  </si>
  <si>
    <t>priame búrky</t>
  </si>
  <si>
    <r>
      <rPr>
        <sz val="12"/>
        <color theme="1"/>
        <rFont val="Calibri"/>
        <family val="2"/>
        <charset val="238"/>
        <scheme val="minor"/>
      </rPr>
      <t>T</t>
    </r>
    <r>
      <rPr>
        <sz val="8"/>
        <color theme="1"/>
        <rFont val="Calibri"/>
        <family val="2"/>
        <charset val="238"/>
        <scheme val="minor"/>
      </rPr>
      <t>pr.max</t>
    </r>
  </si>
  <si>
    <r>
      <rPr>
        <sz val="11"/>
        <color theme="1"/>
        <rFont val="Calibri"/>
        <family val="2"/>
        <charset val="238"/>
        <scheme val="minor"/>
      </rPr>
      <t>T</t>
    </r>
    <r>
      <rPr>
        <sz val="8"/>
        <color theme="1"/>
        <rFont val="Calibri"/>
        <family val="2"/>
        <charset val="238"/>
        <scheme val="minor"/>
      </rPr>
      <t>pr.min</t>
    </r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</si>
  <si>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pr.max</t>
    </r>
  </si>
  <si>
    <r>
      <t>H</t>
    </r>
    <r>
      <rPr>
        <sz val="8"/>
        <color theme="1"/>
        <rFont val="Calibri"/>
        <family val="2"/>
        <charset val="238"/>
        <scheme val="minor"/>
      </rPr>
      <t>pr.min</t>
    </r>
  </si>
  <si>
    <r>
      <t>H</t>
    </r>
    <r>
      <rPr>
        <sz val="8"/>
        <color theme="1"/>
        <rFont val="Calibri"/>
        <family val="2"/>
        <charset val="238"/>
        <scheme val="minor"/>
      </rPr>
      <t>max. (99%)</t>
    </r>
  </si>
  <si>
    <t>max 24h úhrn</t>
  </si>
  <si>
    <t>Čas (UTC)</t>
  </si>
  <si>
    <t>Poveternostná situácia</t>
  </si>
  <si>
    <t>Informácie o búrke</t>
  </si>
  <si>
    <t>Informácie o postupe</t>
  </si>
  <si>
    <t>Hydrometeory</t>
  </si>
  <si>
    <t>Elektrometeory</t>
  </si>
  <si>
    <t>Poznámky</t>
  </si>
  <si>
    <t>Jav</t>
  </si>
  <si>
    <t>Odrazivosť</t>
  </si>
  <si>
    <t>postup</t>
  </si>
  <si>
    <t>smer</t>
  </si>
  <si>
    <t>náraz</t>
  </si>
  <si>
    <t>priemer</t>
  </si>
  <si>
    <t>sneh</t>
  </si>
  <si>
    <t>najbližší úder</t>
  </si>
  <si>
    <t>hrom</t>
  </si>
  <si>
    <t>počuteľný hrom - búrka</t>
  </si>
  <si>
    <t>W - búrkový deň</t>
  </si>
  <si>
    <t>P - priama búrka</t>
  </si>
  <si>
    <t>L - blízka búrka (3-5 km)</t>
  </si>
  <si>
    <t>V - vzdialená búrka (5-15km)</t>
  </si>
  <si>
    <t>D - dážď</t>
  </si>
  <si>
    <t>S - sneženie</t>
  </si>
  <si>
    <t>K - krupobitie</t>
  </si>
  <si>
    <t>Z - zrážky</t>
  </si>
  <si>
    <t>Vietor max:</t>
  </si>
  <si>
    <t>5 m/s &lt;=&gt; 10 m/s</t>
  </si>
  <si>
    <t>25 m/s &lt;=&gt; 30 m/s</t>
  </si>
  <si>
    <t>30 m/s &lt;</t>
  </si>
  <si>
    <t>vietor priemer:</t>
  </si>
  <si>
    <t>0 m/s &lt;=&gt; 2 m/s</t>
  </si>
  <si>
    <t>2 m/s &lt;=&gt; 5 m/s</t>
  </si>
  <si>
    <t>5 m/s &lt;=&gt; 8 m/s</t>
  </si>
  <si>
    <t>8 m/s &lt;=&gt; 11 m/s</t>
  </si>
  <si>
    <t>11 m/s &lt;=&gt; 13 m/s</t>
  </si>
  <si>
    <t>13 m/s &lt;=&gt; 15 m/s</t>
  </si>
  <si>
    <t>15 m/s &lt;</t>
  </si>
  <si>
    <t>5 cm &lt;=&gt; 10 cm</t>
  </si>
  <si>
    <t>Blesky</t>
  </si>
  <si>
    <t>1 &lt;=&gt; 10</t>
  </si>
  <si>
    <t>10 &lt;=&gt; 50</t>
  </si>
  <si>
    <t>50 &lt;=&gt; 350</t>
  </si>
  <si>
    <t>350 &lt;=&gt; 700</t>
  </si>
  <si>
    <t xml:space="preserve">700 &lt;=&gt; 1200 </t>
  </si>
  <si>
    <t>1200 &lt;=&gt; 1800</t>
  </si>
  <si>
    <t>1800 &lt;=&gt; 2500</t>
  </si>
  <si>
    <t>2500 &lt;</t>
  </si>
  <si>
    <t>30-40 dBz</t>
  </si>
  <si>
    <t>40-45 dBz</t>
  </si>
  <si>
    <t>45-50 dBz</t>
  </si>
  <si>
    <t>50-55 dBz</t>
  </si>
  <si>
    <t>55-60 dBz</t>
  </si>
  <si>
    <t>60-63 dBz</t>
  </si>
  <si>
    <t xml:space="preserve">63-65 dBz </t>
  </si>
  <si>
    <t>65 dBz &lt;</t>
  </si>
  <si>
    <t>Dni s búrkou</t>
  </si>
  <si>
    <t>Dni s hmlou</t>
  </si>
  <si>
    <t>Október:</t>
  </si>
  <si>
    <t>November:</t>
  </si>
  <si>
    <t>Dni so snežením</t>
  </si>
  <si>
    <t>Dni s dažďom</t>
  </si>
  <si>
    <t>Dni s merateľnými zrážkami</t>
  </si>
  <si>
    <t>Dni s nemerateľnými zrážkami</t>
  </si>
  <si>
    <t>Dni so zrážkami</t>
  </si>
  <si>
    <t>Dni so zamračenou oblohou</t>
  </si>
  <si>
    <t>December:</t>
  </si>
  <si>
    <t>Dni so snehovou pokrývkou</t>
  </si>
  <si>
    <t>Dni s krupobitím</t>
  </si>
  <si>
    <t>slnečné dni</t>
  </si>
  <si>
    <t>maximálna odrazivosť</t>
  </si>
  <si>
    <t>Dni so SSP</t>
  </si>
  <si>
    <t>Dni s popraškom</t>
  </si>
  <si>
    <t>Dni s NSP</t>
  </si>
  <si>
    <t>Snehová pokrývka</t>
  </si>
  <si>
    <t>prevládajúci smer vetra</t>
  </si>
  <si>
    <t>organizácia</t>
  </si>
  <si>
    <t>D , S , Z</t>
  </si>
  <si>
    <t>Dni s dymnom</t>
  </si>
  <si>
    <t>ΔT</t>
  </si>
  <si>
    <r>
      <t>ΔT</t>
    </r>
    <r>
      <rPr>
        <sz val="8"/>
        <color theme="1"/>
        <rFont val="Calibri"/>
        <family val="2"/>
        <charset val="238"/>
        <scheme val="minor"/>
      </rPr>
      <t>min</t>
    </r>
  </si>
  <si>
    <r>
      <t>ΔT</t>
    </r>
    <r>
      <rPr>
        <sz val="8"/>
        <color theme="1"/>
        <rFont val="Calibri"/>
        <family val="2"/>
        <charset val="238"/>
        <scheme val="minor"/>
      </rPr>
      <t>max</t>
    </r>
  </si>
  <si>
    <t>max 24h sneh</t>
  </si>
  <si>
    <t>S , Z</t>
  </si>
  <si>
    <t>8/8, prehánky, SSP</t>
  </si>
  <si>
    <t>8/8, snehové prehánky, SSP</t>
  </si>
  <si>
    <t>6/8, snehové prehánky, SSP</t>
  </si>
  <si>
    <t>6/8, SSP</t>
  </si>
  <si>
    <t>S , N</t>
  </si>
  <si>
    <t>8/8, SSP</t>
  </si>
  <si>
    <t>8/8, zvírený sneh, SSP</t>
  </si>
  <si>
    <t>7/8, SSP</t>
  </si>
  <si>
    <t>4/8, SSP</t>
  </si>
  <si>
    <t>8/8, mrznúci dážď, SSP</t>
  </si>
  <si>
    <t>5/8, SSP</t>
  </si>
  <si>
    <t>8/8, hmla, dymno, SSP</t>
  </si>
  <si>
    <t>D , S , N</t>
  </si>
  <si>
    <t>4/8, halové javy, SSP</t>
  </si>
  <si>
    <t>8/8, dymno, SSP</t>
  </si>
  <si>
    <t>8/8, SSP, zvírený sneh</t>
  </si>
  <si>
    <t>D , N</t>
  </si>
  <si>
    <t>8/8, NSP</t>
  </si>
  <si>
    <t>6/8, NSP</t>
  </si>
  <si>
    <t>JJV</t>
  </si>
  <si>
    <t>S</t>
  </si>
  <si>
    <t xml:space="preserve">J </t>
  </si>
  <si>
    <t>SSV</t>
  </si>
  <si>
    <t>J</t>
  </si>
  <si>
    <t>SZ</t>
  </si>
  <si>
    <t>Z</t>
  </si>
  <si>
    <t>JV</t>
  </si>
  <si>
    <t>SSZ</t>
  </si>
  <si>
    <t>ZJZ</t>
  </si>
  <si>
    <t>JZ</t>
  </si>
  <si>
    <t>5/8, NSP</t>
  </si>
  <si>
    <t>2/8, slnečný deň, NSP</t>
  </si>
  <si>
    <t>7/8, NSP</t>
  </si>
  <si>
    <t>D , Z</t>
  </si>
  <si>
    <t>8/8, dymno, NSP</t>
  </si>
  <si>
    <t>8/8, hmla, dymno, NSP</t>
  </si>
  <si>
    <t>8/8, halové javy, SSP</t>
  </si>
  <si>
    <t>6/8, snehové prehánky, snehové zrná, SSP</t>
  </si>
  <si>
    <t>4/8, dopoludnia hmla</t>
  </si>
  <si>
    <t>5/8, dopoludnia hmla, zákal</t>
  </si>
  <si>
    <t>5/8, ráno hmla</t>
  </si>
  <si>
    <t>7/8</t>
  </si>
  <si>
    <t>5/8, poprašok</t>
  </si>
  <si>
    <t>3/8</t>
  </si>
  <si>
    <t>6/8</t>
  </si>
  <si>
    <t>5/8</t>
  </si>
  <si>
    <t>2/8</t>
  </si>
  <si>
    <t>SV</t>
  </si>
  <si>
    <t>V</t>
  </si>
  <si>
    <t>ZSZ</t>
  </si>
  <si>
    <t>4/8</t>
  </si>
  <si>
    <t>6/8, prehánky</t>
  </si>
  <si>
    <t>5/8, snehové prehánky</t>
  </si>
  <si>
    <t>4/8, snehové prehánky</t>
  </si>
  <si>
    <t>6/8, halové javy</t>
  </si>
  <si>
    <t>8/8</t>
  </si>
  <si>
    <t>6/8, ráno hmla, halové javy</t>
  </si>
  <si>
    <t>1/8, slnečný deň, zákal</t>
  </si>
  <si>
    <t>5/8, večer prehánky</t>
  </si>
  <si>
    <t>7/8, prehánky</t>
  </si>
  <si>
    <t>6/8, večer prehánky</t>
  </si>
  <si>
    <t>3/8, halové javy, ráno dymno</t>
  </si>
  <si>
    <t xml:space="preserve">2/8, slnečný deň </t>
  </si>
  <si>
    <t>0/8, slnečný deň</t>
  </si>
  <si>
    <t>JJZ</t>
  </si>
  <si>
    <t>5/8, halové javy</t>
  </si>
  <si>
    <t>8/8, prehánky, v noci hmla</t>
  </si>
  <si>
    <t xml:space="preserve">6/8, ráno hmla </t>
  </si>
  <si>
    <t xml:space="preserve">1/8, slnečný deň </t>
  </si>
  <si>
    <t>8/8, prehánky</t>
  </si>
  <si>
    <t>zvlnený studený front</t>
  </si>
  <si>
    <t>W , P , D , Z</t>
  </si>
  <si>
    <t>multicela</t>
  </si>
  <si>
    <t>ZJZ-VSV</t>
  </si>
  <si>
    <t>10:45-11:50</t>
  </si>
  <si>
    <t>MCS</t>
  </si>
  <si>
    <t>SZS-VJV</t>
  </si>
  <si>
    <t>áno</t>
  </si>
  <si>
    <t>V , D , Z</t>
  </si>
  <si>
    <t>12:20-13:20</t>
  </si>
  <si>
    <t>7/8, búrka</t>
  </si>
  <si>
    <t>6/8, prehánky, ráno hmla</t>
  </si>
  <si>
    <t>6/8, halové javy, prehánky</t>
  </si>
  <si>
    <t>7/8, ráno hmla, mrholenie</t>
  </si>
  <si>
    <t>11:00-11:30</t>
  </si>
  <si>
    <t>nevýrazné tlakové pole</t>
  </si>
  <si>
    <t>W ,  V , D , Z</t>
  </si>
  <si>
    <t>Z-V</t>
  </si>
  <si>
    <t>6/8, popoludní búrka</t>
  </si>
  <si>
    <t>7/8, ráno hmla, večer prehánky</t>
  </si>
  <si>
    <t>squall line</t>
  </si>
  <si>
    <t>JZ-SV</t>
  </si>
  <si>
    <t>shelf cloud</t>
  </si>
  <si>
    <t>16:20-18:45</t>
  </si>
  <si>
    <t>D , K , Z</t>
  </si>
  <si>
    <t>6/8, búrka</t>
  </si>
  <si>
    <t>8/8, dymno, mrholenie</t>
  </si>
  <si>
    <t>5/8, prehánky</t>
  </si>
  <si>
    <t>6/8, halové javy, ráno hmla</t>
  </si>
  <si>
    <t>Iniciácia</t>
  </si>
  <si>
    <t>Okolnosti vzniku</t>
  </si>
  <si>
    <t>frontálne rozhranie</t>
  </si>
  <si>
    <t>ZSZ-VJV</t>
  </si>
  <si>
    <t>nevýrazný shelf cloud</t>
  </si>
  <si>
    <t>studený front</t>
  </si>
  <si>
    <t>19:00-20:50</t>
  </si>
  <si>
    <t>W , L , D , Z</t>
  </si>
  <si>
    <t>4/8, večer búrka, ráno hmla</t>
  </si>
  <si>
    <t>1/8, slnečný deň, ráno hmla</t>
  </si>
  <si>
    <t>2/8, slnečný deň</t>
  </si>
  <si>
    <t>3/8, slnečný deň</t>
  </si>
  <si>
    <t>1/8, slnečný deň</t>
  </si>
  <si>
    <t>orografia</t>
  </si>
  <si>
    <t>supercela</t>
  </si>
  <si>
    <t>takmer stacionárna bunka, vznik na S strane Slanských vrchov, pomalý postup na SSZ, výrazný V tvar na radare, krupobitie a prívalové zrážky v okolitých dedinách (Koprivnica 2 cm krúpy)</t>
  </si>
  <si>
    <t>18:30-20:40</t>
  </si>
  <si>
    <t>4/8, ráno dymno, večer búrka</t>
  </si>
  <si>
    <t>outflow boundary</t>
  </si>
  <si>
    <t>P</t>
  </si>
  <si>
    <t>konvergencia buniek od oblasti Spiša a krajného východu, nad pozorovacím miestom zlievanie do MCS</t>
  </si>
  <si>
    <t>14:45-18:00</t>
  </si>
  <si>
    <t>prem.</t>
  </si>
  <si>
    <t>stratiforma</t>
  </si>
  <si>
    <t>SSZ-JJV</t>
  </si>
  <si>
    <t>18:37-19:10</t>
  </si>
  <si>
    <t>VJV-ZSZ</t>
  </si>
  <si>
    <t>elektricky aktívna stratiforma</t>
  </si>
  <si>
    <t>6/8, ráno dymno, večer búrka</t>
  </si>
  <si>
    <t>11:23-13-30</t>
  </si>
  <si>
    <t>možná supercela</t>
  </si>
  <si>
    <t>6/8, popoludní búrka, ráno hmla</t>
  </si>
  <si>
    <t>6/8, popoludní prehánky, ráno dymno</t>
  </si>
  <si>
    <t>W , V , D , Z</t>
  </si>
  <si>
    <t>Vznik na severnej strane Slanských vrchov</t>
  </si>
  <si>
    <t>JJV-SSZ</t>
  </si>
  <si>
    <t>8:21-10:45</t>
  </si>
  <si>
    <t>výrazný shelf cloud</t>
  </si>
  <si>
    <t>19:00-20:00</t>
  </si>
  <si>
    <t>7/8, búrka, ráno hmla</t>
  </si>
  <si>
    <t>14:30-16:45</t>
  </si>
  <si>
    <t>VSV-ZJZ</t>
  </si>
  <si>
    <t>W , P , D , K , Z</t>
  </si>
  <si>
    <t>P , D , Z</t>
  </si>
  <si>
    <t>D , U , Z</t>
  </si>
  <si>
    <t>0/8, slnečný deň, ráno dymno</t>
  </si>
  <si>
    <t>3/8, slnečný deň, ráno hmla</t>
  </si>
  <si>
    <t>veľmi prudký rozvoj konvekcie (rádovo 10-15 minút do prvého blesku), Košice supercela - 5-7 cm krúpy</t>
  </si>
  <si>
    <t>9:20-10:20</t>
  </si>
  <si>
    <t>6/8, na poludnie búrka, ráno dymno</t>
  </si>
  <si>
    <t>0/8, zákal</t>
  </si>
  <si>
    <t>VSV</t>
  </si>
  <si>
    <t>Vznik na severnej strane Slanských vrchov, dobre separovaný výstupný a zástupný prúd, odklon na pravo</t>
  </si>
  <si>
    <t>13:00-14:45</t>
  </si>
  <si>
    <t>0:45-1:35</t>
  </si>
  <si>
    <t>konvergentná zóna</t>
  </si>
  <si>
    <t>konvergencia</t>
  </si>
  <si>
    <t xml:space="preserve">W , V </t>
  </si>
  <si>
    <t>11:40-14:15</t>
  </si>
  <si>
    <t>11:20-12:15</t>
  </si>
  <si>
    <t>výšková tlaková níž</t>
  </si>
  <si>
    <t>pravdepodobne vnorená supercela, húľava</t>
  </si>
  <si>
    <t>6/8, ráno hmla</t>
  </si>
  <si>
    <t>stac.</t>
  </si>
  <si>
    <t>brázda nízkeho tlaku</t>
  </si>
  <si>
    <t>12:35-12:55</t>
  </si>
  <si>
    <t>7/8, prehánky, búrka</t>
  </si>
  <si>
    <t>12:45-13:10</t>
  </si>
  <si>
    <t>6/8, búrka, prehánky</t>
  </si>
  <si>
    <t>13:45-15:15</t>
  </si>
  <si>
    <t>5/8, ráno hmla, búrka</t>
  </si>
  <si>
    <t>brázda nízkeho tlaku / teplý sektor</t>
  </si>
  <si>
    <t>Vznik na severnej strane Slanských vrchov, odklon od smeru postupu a V tvar na radare. Zosilovanie nad pozorovacím miestom - viditeľná rainfree base</t>
  </si>
  <si>
    <t>19:10-19:40</t>
  </si>
  <si>
    <t>teplý sektor</t>
  </si>
  <si>
    <t>13:35-18:45</t>
  </si>
  <si>
    <t>Studený front</t>
  </si>
  <si>
    <t>6/8, ráno hmla, prehánky, búrka</t>
  </si>
  <si>
    <t>S-J</t>
  </si>
  <si>
    <t>multicelárna a supercelárna konvekcia vznikajúca na Karpátsom oblúk, na juhu zlievanie buniek do squall line</t>
  </si>
  <si>
    <t>10:55-13:00</t>
  </si>
  <si>
    <t>2xhúľava v rámci systému, v oboch prípadoch sprevádzaná shelf cloudom. Na čele systému pravdepodone vnorená supercela V od Domaše</t>
  </si>
  <si>
    <t>J-S</t>
  </si>
  <si>
    <t>17:30-20:40</t>
  </si>
  <si>
    <t>5/8, búrka</t>
  </si>
  <si>
    <t>W , P , D</t>
  </si>
  <si>
    <t>13:40-16:15</t>
  </si>
  <si>
    <t>V-Z</t>
  </si>
  <si>
    <t>postup najprv V-Z, potom propagácia na JZ</t>
  </si>
  <si>
    <t xml:space="preserve">W , V , D  </t>
  </si>
  <si>
    <t>SZ-JV</t>
  </si>
  <si>
    <t>12:00-15:00</t>
  </si>
  <si>
    <t>15:55-16:50</t>
  </si>
  <si>
    <t>V , D</t>
  </si>
  <si>
    <t>5/8, búrka, prehánky</t>
  </si>
  <si>
    <t>9:10-10:20</t>
  </si>
  <si>
    <t>W , V</t>
  </si>
  <si>
    <t>11:45-13:45</t>
  </si>
  <si>
    <t>16:10-17:40</t>
  </si>
  <si>
    <t>7/8, prehánky, ráno hmla</t>
  </si>
  <si>
    <t>12:30-13:00</t>
  </si>
  <si>
    <t>13:15-14:15</t>
  </si>
  <si>
    <t>Vznik za Čergovom, Z od pozorovacieho miesta štiepenie a pozorovaný right-mover, korý neskôr zanikol. Dlhá životnosť - postup bunky až nad Ukrajinu.</t>
  </si>
  <si>
    <t>VJV</t>
  </si>
  <si>
    <t xml:space="preserve">Z </t>
  </si>
  <si>
    <t>11:30-12:15</t>
  </si>
  <si>
    <t>4:50-6:15</t>
  </si>
  <si>
    <t>teplý sektor / výšková tlaková níž</t>
  </si>
  <si>
    <t>13:20-14:45</t>
  </si>
  <si>
    <t>V , D , K , Z</t>
  </si>
  <si>
    <t>Vznik na pohraničí, severne od BJ. Následne odklon na pravo a postup na J. CCA 7 km na SZ od pozorovacieho miesta zánik bunky, viditeľný rotujúci výstupný prúd. Na radare V-tvar. V meste výskyt riedkeho krupobitia.</t>
  </si>
  <si>
    <t>6/8, búrka, halové javy</t>
  </si>
  <si>
    <t>15:40-18:10</t>
  </si>
  <si>
    <t>0:00-2:00</t>
  </si>
  <si>
    <t>7/8, búrka, večer hmla</t>
  </si>
  <si>
    <t>15:40-17:30</t>
  </si>
  <si>
    <t>Z od mesta rozpad bunky, odklon vpravo od postupu, dlhá životnosť, V-tvar</t>
  </si>
  <si>
    <t>backbuilding</t>
  </si>
  <si>
    <t>17:40-20:45</t>
  </si>
  <si>
    <t>22:00-2:00</t>
  </si>
  <si>
    <t>6/8, búrka, ráno hmla</t>
  </si>
  <si>
    <t>6/8, ráno búrka</t>
  </si>
  <si>
    <t>8/8, búrka</t>
  </si>
  <si>
    <t>13.8.2019-14.8.2019</t>
  </si>
  <si>
    <t>10.8.2019-11.8.2019</t>
  </si>
  <si>
    <t>13:30-18:30</t>
  </si>
  <si>
    <t>19:25-8:00</t>
  </si>
  <si>
    <t>15:40-17:20</t>
  </si>
  <si>
    <t>7/8, halové javy</t>
  </si>
  <si>
    <t>5/8, ráno dymno</t>
  </si>
  <si>
    <t xml:space="preserve">4/8, ráno dymno </t>
  </si>
  <si>
    <t>3/8, ráno hmla</t>
  </si>
  <si>
    <t>U , Z</t>
  </si>
  <si>
    <t>4/8, ráno hmla</t>
  </si>
  <si>
    <t>mimo rozhrania</t>
  </si>
  <si>
    <t>12:40-13:45</t>
  </si>
  <si>
    <t>4/8, ráno hmla, búrka</t>
  </si>
  <si>
    <t>Dni s bezoblačnou oblohou</t>
  </si>
  <si>
    <t>2/8, slnečný deň, ráno hmla</t>
  </si>
  <si>
    <t>train effect</t>
  </si>
  <si>
    <t>W , W , P , D , Z</t>
  </si>
  <si>
    <t>7/8, prehánky, v noci búrka</t>
  </si>
  <si>
    <t>8/8, v noci búrka</t>
  </si>
  <si>
    <t>21:30-3:00</t>
  </si>
  <si>
    <t>2.9.2019-3.9.2019</t>
  </si>
  <si>
    <t>2/8, ráno hmla</t>
  </si>
  <si>
    <t>1/8, ráno hmla, slnečný deň</t>
  </si>
  <si>
    <t>4/8, prehánky</t>
  </si>
  <si>
    <t>2/8, halové javy, slnečný deň</t>
  </si>
  <si>
    <t xml:space="preserve">D , N </t>
  </si>
  <si>
    <t>1/8,ráno dymno</t>
  </si>
  <si>
    <t>0/8, slnečný deň, ráno hmla</t>
  </si>
  <si>
    <t>7/8, ráno hmla</t>
  </si>
  <si>
    <t>7/8, večer hmla, prehánky</t>
  </si>
  <si>
    <t xml:space="preserve">7/8, večer hmla </t>
  </si>
  <si>
    <t>4/8, dymno</t>
  </si>
  <si>
    <t xml:space="preserve"> U , Z</t>
  </si>
  <si>
    <t>8/8, ráno hmla</t>
  </si>
  <si>
    <t>3/8, slnečný deň, zákal, ráno hmla</t>
  </si>
  <si>
    <t>2/8, zákal, slnečný deň</t>
  </si>
  <si>
    <t>3/8, zákal, ráno hmla</t>
  </si>
  <si>
    <t>2/8, slnečný deň, zákal,  ráno hmla</t>
  </si>
  <si>
    <t>1/8, slnečný deň, zákal, ráno hmla</t>
  </si>
  <si>
    <t>1/8, ráno hmla, zákal,  slnečný deň</t>
  </si>
  <si>
    <t>8/8, halové javy, ráno hmla</t>
  </si>
  <si>
    <t>3/8, halové javy, inoväť</t>
  </si>
  <si>
    <t>Dohľadnosť a oblačnosť</t>
  </si>
  <si>
    <t>Dni so zákalom</t>
  </si>
  <si>
    <t>7/8, večer hmla</t>
  </si>
  <si>
    <t>8/8, ráno a večer hmla</t>
  </si>
  <si>
    <t>8/8, hmla</t>
  </si>
  <si>
    <t>3/8, halové javy</t>
  </si>
  <si>
    <t>5/8, dymno</t>
  </si>
  <si>
    <t>7/8, dymno</t>
  </si>
  <si>
    <t>8/8, v noci hmla</t>
  </si>
  <si>
    <t>5/8, halové javy, ráno hmla</t>
  </si>
  <si>
    <t>7/8, snehové prehánky</t>
  </si>
  <si>
    <t>7/8, snehové prehánky, poprašok</t>
  </si>
  <si>
    <t>8/8, snehové prehánky, poprašok</t>
  </si>
  <si>
    <t>6/8, večer mrznúci dážď</t>
  </si>
  <si>
    <t>Dni s usadenými zrážkami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</si>
</sst>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&quot; °C&quot;"/>
    <numFmt numFmtId="165" formatCode="0.0&quot; hPa&quot;"/>
    <numFmt numFmtId="166" formatCode="0.0&quot; %&quot;"/>
    <numFmt numFmtId="167" formatCode="0.0&quot; m/s&quot;"/>
    <numFmt numFmtId="168" formatCode="0.0&quot; km&quot;"/>
    <numFmt numFmtId="169" formatCode="0.0&quot; mm/h&quot;"/>
    <numFmt numFmtId="170" formatCode="0.0&quot; mm&quot;"/>
    <numFmt numFmtId="171" formatCode="0.0&quot; cm&quot;"/>
    <numFmt numFmtId="172" formatCode="0&quot; dBz&quot;"/>
    <numFmt numFmtId="173" formatCode="0&quot; bleskov&quot;"/>
    <numFmt numFmtId="174" formatCode="0&quot; X&quot;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D6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3" tint="0.39997558519241921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57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4" xfId="0" applyNumberFormat="1" applyBorder="1" applyAlignment="1">
      <alignment wrapText="1"/>
    </xf>
    <xf numFmtId="167" fontId="0" fillId="0" borderId="5" xfId="0" applyNumberFormat="1" applyBorder="1" applyAlignment="1">
      <alignment wrapText="1"/>
    </xf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5" xfId="0" applyNumberFormat="1" applyFill="1" applyBorder="1" applyAlignment="1">
      <alignment wrapText="1"/>
    </xf>
    <xf numFmtId="170" fontId="0" fillId="0" borderId="0" xfId="0" applyNumberFormat="1"/>
    <xf numFmtId="171" fontId="0" fillId="0" borderId="5" xfId="0" applyNumberFormat="1" applyFill="1" applyBorder="1" applyAlignment="1">
      <alignment wrapText="1"/>
    </xf>
    <xf numFmtId="171" fontId="0" fillId="0" borderId="0" xfId="0" applyNumberFormat="1"/>
    <xf numFmtId="171" fontId="0" fillId="0" borderId="6" xfId="0" applyNumberFormat="1" applyFill="1" applyBorder="1" applyAlignment="1">
      <alignment wrapText="1"/>
    </xf>
    <xf numFmtId="164" fontId="0" fillId="0" borderId="7" xfId="0" applyNumberFormat="1" applyBorder="1"/>
    <xf numFmtId="0" fontId="0" fillId="0" borderId="9" xfId="0" applyBorder="1"/>
    <xf numFmtId="169" fontId="0" fillId="2" borderId="7" xfId="0" applyNumberFormat="1" applyFill="1" applyBorder="1"/>
    <xf numFmtId="170" fontId="0" fillId="2" borderId="7" xfId="0" applyNumberFormat="1" applyFill="1" applyBorder="1"/>
    <xf numFmtId="171" fontId="0" fillId="2" borderId="7" xfId="0" applyNumberFormat="1" applyFill="1" applyBorder="1"/>
    <xf numFmtId="167" fontId="0" fillId="2" borderId="7" xfId="0" applyNumberFormat="1" applyFill="1" applyBorder="1"/>
    <xf numFmtId="0" fontId="0" fillId="0" borderId="7" xfId="0" applyBorder="1"/>
    <xf numFmtId="165" fontId="0" fillId="0" borderId="7" xfId="0" applyNumberFormat="1" applyBorder="1"/>
    <xf numFmtId="164" fontId="0" fillId="0" borderId="14" xfId="0" applyNumberFormat="1" applyBorder="1"/>
    <xf numFmtId="165" fontId="0" fillId="0" borderId="5" xfId="0" applyNumberFormat="1" applyBorder="1"/>
    <xf numFmtId="166" fontId="0" fillId="0" borderId="7" xfId="0" applyNumberFormat="1" applyBorder="1"/>
    <xf numFmtId="167" fontId="0" fillId="0" borderId="7" xfId="0" applyNumberFormat="1" applyBorder="1"/>
    <xf numFmtId="169" fontId="0" fillId="0" borderId="7" xfId="0" applyNumberFormat="1" applyBorder="1"/>
    <xf numFmtId="170" fontId="0" fillId="0" borderId="7" xfId="0" applyNumberFormat="1" applyBorder="1"/>
    <xf numFmtId="171" fontId="0" fillId="0" borderId="7" xfId="0" applyNumberFormat="1" applyBorder="1"/>
    <xf numFmtId="0" fontId="0" fillId="0" borderId="21" xfId="0" applyBorder="1"/>
    <xf numFmtId="171" fontId="0" fillId="0" borderId="24" xfId="0" applyNumberFormat="1" applyBorder="1"/>
    <xf numFmtId="0" fontId="1" fillId="0" borderId="8" xfId="0" applyFont="1" applyBorder="1" applyAlignment="1"/>
    <xf numFmtId="164" fontId="0" fillId="0" borderId="25" xfId="0" applyNumberFormat="1" applyBorder="1"/>
    <xf numFmtId="166" fontId="0" fillId="0" borderId="25" xfId="0" applyNumberFormat="1" applyBorder="1"/>
    <xf numFmtId="165" fontId="0" fillId="0" borderId="25" xfId="0" applyNumberFormat="1" applyBorder="1"/>
    <xf numFmtId="167" fontId="0" fillId="0" borderId="25" xfId="0" applyNumberFormat="1" applyBorder="1"/>
    <xf numFmtId="0" fontId="0" fillId="0" borderId="27" xfId="0" applyBorder="1"/>
    <xf numFmtId="0" fontId="0" fillId="0" borderId="25" xfId="0" applyBorder="1"/>
    <xf numFmtId="164" fontId="0" fillId="0" borderId="5" xfId="0" applyNumberFormat="1" applyBorder="1"/>
    <xf numFmtId="164" fontId="0" fillId="0" borderId="5" xfId="0" applyNumberFormat="1" applyFont="1" applyBorder="1"/>
    <xf numFmtId="0" fontId="0" fillId="0" borderId="28" xfId="0" applyBorder="1"/>
    <xf numFmtId="0" fontId="0" fillId="0" borderId="5" xfId="0" applyBorder="1"/>
    <xf numFmtId="14" fontId="0" fillId="0" borderId="26" xfId="0" applyNumberFormat="1" applyBorder="1"/>
    <xf numFmtId="164" fontId="0" fillId="0" borderId="23" xfId="0" applyNumberFormat="1" applyBorder="1"/>
    <xf numFmtId="164" fontId="0" fillId="0" borderId="13" xfId="0" applyNumberFormat="1" applyBorder="1"/>
    <xf numFmtId="167" fontId="0" fillId="0" borderId="14" xfId="0" applyNumberFormat="1" applyBorder="1"/>
    <xf numFmtId="171" fontId="0" fillId="2" borderId="24" xfId="0" applyNumberFormat="1" applyFill="1" applyBorder="1"/>
    <xf numFmtId="169" fontId="0" fillId="0" borderId="14" xfId="0" applyNumberFormat="1" applyBorder="1"/>
    <xf numFmtId="170" fontId="0" fillId="0" borderId="14" xfId="0" applyNumberFormat="1" applyBorder="1"/>
    <xf numFmtId="171" fontId="0" fillId="0" borderId="14" xfId="0" applyNumberFormat="1" applyBorder="1"/>
    <xf numFmtId="171" fontId="0" fillId="0" borderId="16" xfId="0" applyNumberFormat="1" applyBorder="1"/>
    <xf numFmtId="0" fontId="1" fillId="0" borderId="10" xfId="0" applyFont="1" applyBorder="1" applyAlignment="1">
      <alignment horizontal="center" vertical="center"/>
    </xf>
    <xf numFmtId="164" fontId="0" fillId="0" borderId="4" xfId="0" applyNumberFormat="1" applyBorder="1"/>
    <xf numFmtId="169" fontId="0" fillId="0" borderId="4" xfId="0" applyNumberFormat="1" applyFill="1" applyBorder="1" applyAlignment="1">
      <alignment wrapText="1"/>
    </xf>
    <xf numFmtId="165" fontId="0" fillId="0" borderId="28" xfId="0" applyNumberFormat="1" applyBorder="1"/>
    <xf numFmtId="0" fontId="0" fillId="0" borderId="0" xfId="0" applyNumberFormat="1"/>
    <xf numFmtId="0" fontId="0" fillId="0" borderId="0" xfId="0" applyBorder="1"/>
    <xf numFmtId="164" fontId="0" fillId="0" borderId="0" xfId="0" applyNumberFormat="1" applyBorder="1"/>
    <xf numFmtId="166" fontId="0" fillId="0" borderId="0" xfId="0" applyNumberFormat="1" applyBorder="1"/>
    <xf numFmtId="165" fontId="0" fillId="0" borderId="0" xfId="0" applyNumberFormat="1" applyBorder="1"/>
    <xf numFmtId="167" fontId="0" fillId="0" borderId="0" xfId="0" applyNumberFormat="1" applyBorder="1"/>
    <xf numFmtId="168" fontId="0" fillId="0" borderId="0" xfId="0" applyNumberFormat="1" applyBorder="1"/>
    <xf numFmtId="169" fontId="0" fillId="0" borderId="0" xfId="0" applyNumberFormat="1" applyBorder="1"/>
    <xf numFmtId="170" fontId="0" fillId="0" borderId="0" xfId="0" applyNumberFormat="1" applyBorder="1"/>
    <xf numFmtId="171" fontId="0" fillId="0" borderId="0" xfId="0" applyNumberFormat="1" applyBorder="1"/>
    <xf numFmtId="167" fontId="0" fillId="0" borderId="21" xfId="0" applyNumberFormat="1" applyBorder="1"/>
    <xf numFmtId="167" fontId="0" fillId="2" borderId="21" xfId="0" applyNumberFormat="1" applyFill="1" applyBorder="1"/>
    <xf numFmtId="167" fontId="0" fillId="0" borderId="32" xfId="0" applyNumberFormat="1" applyBorder="1"/>
    <xf numFmtId="164" fontId="0" fillId="0" borderId="20" xfId="0" applyNumberFormat="1" applyBorder="1"/>
    <xf numFmtId="0" fontId="0" fillId="2" borderId="7" xfId="0" applyFill="1" applyBorder="1"/>
    <xf numFmtId="165" fontId="0" fillId="0" borderId="24" xfId="0" applyNumberFormat="1" applyBorder="1"/>
    <xf numFmtId="166" fontId="0" fillId="0" borderId="14" xfId="0" applyNumberFormat="1" applyBorder="1"/>
    <xf numFmtId="165" fontId="0" fillId="0" borderId="14" xfId="0" applyNumberFormat="1" applyBorder="1"/>
    <xf numFmtId="165" fontId="0" fillId="0" borderId="16" xfId="0" applyNumberFormat="1" applyBorder="1"/>
    <xf numFmtId="165" fontId="0" fillId="0" borderId="40" xfId="0" applyNumberFormat="1" applyBorder="1"/>
    <xf numFmtId="167" fontId="0" fillId="0" borderId="23" xfId="0" applyNumberFormat="1" applyBorder="1"/>
    <xf numFmtId="167" fontId="0" fillId="2" borderId="23" xfId="0" applyNumberFormat="1" applyFill="1" applyBorder="1"/>
    <xf numFmtId="167" fontId="0" fillId="0" borderId="13" xfId="0" applyNumberFormat="1" applyBorder="1"/>
    <xf numFmtId="0" fontId="2" fillId="2" borderId="7" xfId="0" applyNumberFormat="1" applyFont="1" applyFill="1" applyBorder="1" applyAlignment="1">
      <alignment horizontal="center"/>
    </xf>
    <xf numFmtId="164" fontId="0" fillId="0" borderId="39" xfId="0" applyNumberFormat="1" applyBorder="1"/>
    <xf numFmtId="164" fontId="0" fillId="0" borderId="26" xfId="0" applyNumberFormat="1" applyBorder="1"/>
    <xf numFmtId="167" fontId="0" fillId="0" borderId="28" xfId="0" applyNumberFormat="1" applyBorder="1" applyAlignment="1">
      <alignment wrapText="1"/>
    </xf>
    <xf numFmtId="164" fontId="0" fillId="0" borderId="24" xfId="0" applyNumberFormat="1" applyBorder="1"/>
    <xf numFmtId="164" fontId="0" fillId="0" borderId="16" xfId="0" applyNumberFormat="1" applyBorder="1"/>
    <xf numFmtId="166" fontId="0" fillId="0" borderId="24" xfId="0" applyNumberFormat="1" applyBorder="1"/>
    <xf numFmtId="166" fontId="0" fillId="0" borderId="16" xfId="0" applyNumberFormat="1" applyBorder="1"/>
    <xf numFmtId="1" fontId="0" fillId="0" borderId="7" xfId="0" applyNumberFormat="1" applyBorder="1"/>
    <xf numFmtId="164" fontId="0" fillId="0" borderId="40" xfId="0" applyNumberFormat="1" applyBorder="1"/>
    <xf numFmtId="166" fontId="0" fillId="0" borderId="23" xfId="0" applyNumberFormat="1" applyBorder="1"/>
    <xf numFmtId="166" fontId="0" fillId="0" borderId="13" xfId="0" applyNumberFormat="1" applyBorder="1"/>
    <xf numFmtId="0" fontId="0" fillId="0" borderId="5" xfId="0" applyBorder="1" applyAlignment="1">
      <alignment wrapText="1"/>
    </xf>
    <xf numFmtId="1" fontId="0" fillId="0" borderId="25" xfId="0" applyNumberFormat="1" applyBorder="1"/>
    <xf numFmtId="1" fontId="0" fillId="0" borderId="37" xfId="0" applyNumberFormat="1" applyBorder="1"/>
    <xf numFmtId="1" fontId="0" fillId="0" borderId="38" xfId="0" applyNumberFormat="1" applyBorder="1"/>
    <xf numFmtId="1" fontId="1" fillId="23" borderId="1" xfId="0" applyNumberFormat="1" applyFont="1" applyFill="1" applyBorder="1" applyAlignment="1">
      <alignment horizontal="left" vertical="center"/>
    </xf>
    <xf numFmtId="1" fontId="0" fillId="23" borderId="5" xfId="0" applyNumberFormat="1" applyFill="1" applyBorder="1"/>
    <xf numFmtId="1" fontId="0" fillId="0" borderId="21" xfId="0" applyNumberFormat="1" applyBorder="1" applyAlignment="1"/>
    <xf numFmtId="1" fontId="0" fillId="23" borderId="28" xfId="0" applyNumberFormat="1" applyFill="1" applyBorder="1" applyAlignment="1"/>
    <xf numFmtId="1" fontId="0" fillId="0" borderId="26" xfId="0" applyNumberFormat="1" applyBorder="1"/>
    <xf numFmtId="1" fontId="0" fillId="23" borderId="29" xfId="0" applyNumberFormat="1" applyFill="1" applyBorder="1"/>
    <xf numFmtId="1" fontId="0" fillId="0" borderId="7" xfId="0" applyNumberFormat="1" applyBorder="1" applyAlignment="1"/>
    <xf numFmtId="1" fontId="0" fillId="23" borderId="5" xfId="0" applyNumberFormat="1" applyFill="1" applyBorder="1" applyAlignment="1"/>
    <xf numFmtId="1" fontId="0" fillId="0" borderId="25" xfId="0" applyNumberFormat="1" applyBorder="1" applyAlignment="1"/>
    <xf numFmtId="1" fontId="0" fillId="0" borderId="27" xfId="0" applyNumberFormat="1" applyBorder="1" applyAlignment="1"/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33" xfId="0" applyBorder="1"/>
    <xf numFmtId="164" fontId="3" fillId="0" borderId="5" xfId="0" applyNumberFormat="1" applyFont="1" applyBorder="1"/>
    <xf numFmtId="0" fontId="3" fillId="0" borderId="6" xfId="0" applyFont="1" applyBorder="1"/>
    <xf numFmtId="169" fontId="0" fillId="2" borderId="25" xfId="0" applyNumberFormat="1" applyFill="1" applyBorder="1"/>
    <xf numFmtId="170" fontId="0" fillId="2" borderId="25" xfId="0" applyNumberFormat="1" applyFill="1" applyBorder="1"/>
    <xf numFmtId="171" fontId="0" fillId="2" borderId="25" xfId="0" applyNumberFormat="1" applyFill="1" applyBorder="1"/>
    <xf numFmtId="0" fontId="4" fillId="0" borderId="31" xfId="0" applyFont="1" applyBorder="1"/>
    <xf numFmtId="0" fontId="0" fillId="0" borderId="8" xfId="0" applyBorder="1"/>
    <xf numFmtId="166" fontId="0" fillId="0" borderId="40" xfId="0" applyNumberFormat="1" applyBorder="1"/>
    <xf numFmtId="167" fontId="0" fillId="0" borderId="27" xfId="0" applyNumberFormat="1" applyBorder="1"/>
    <xf numFmtId="167" fontId="0" fillId="0" borderId="39" xfId="0" applyNumberFormat="1" applyBorder="1"/>
    <xf numFmtId="171" fontId="0" fillId="2" borderId="40" xfId="0" applyNumberFormat="1" applyFill="1" applyBorder="1"/>
    <xf numFmtId="0" fontId="0" fillId="0" borderId="0" xfId="0" applyNumberFormat="1" applyBorder="1"/>
    <xf numFmtId="166" fontId="0" fillId="0" borderId="39" xfId="0" applyNumberFormat="1" applyBorder="1"/>
    <xf numFmtId="0" fontId="0" fillId="0" borderId="45" xfId="0" applyNumberFormat="1" applyBorder="1"/>
    <xf numFmtId="0" fontId="0" fillId="0" borderId="46" xfId="0" applyNumberFormat="1" applyBorder="1"/>
    <xf numFmtId="165" fontId="0" fillId="0" borderId="23" xfId="0" applyNumberFormat="1" applyBorder="1"/>
    <xf numFmtId="165" fontId="0" fillId="0" borderId="13" xfId="0" applyNumberFormat="1" applyBorder="1"/>
    <xf numFmtId="165" fontId="0" fillId="0" borderId="39" xfId="0" applyNumberFormat="1" applyBorder="1"/>
    <xf numFmtId="166" fontId="3" fillId="0" borderId="4" xfId="0" applyNumberFormat="1" applyFont="1" applyBorder="1"/>
    <xf numFmtId="166" fontId="3" fillId="0" borderId="5" xfId="0" applyNumberFormat="1" applyFont="1" applyBorder="1"/>
    <xf numFmtId="0" fontId="0" fillId="0" borderId="6" xfId="0" applyBorder="1"/>
    <xf numFmtId="20" fontId="0" fillId="0" borderId="29" xfId="0" applyNumberFormat="1" applyBorder="1" applyAlignment="1">
      <alignment wrapText="1"/>
    </xf>
    <xf numFmtId="169" fontId="0" fillId="0" borderId="28" xfId="0" applyNumberFormat="1" applyFill="1" applyBorder="1" applyAlignment="1">
      <alignment wrapText="1"/>
    </xf>
    <xf numFmtId="0" fontId="2" fillId="12" borderId="20" xfId="0" applyNumberFormat="1" applyFont="1" applyFill="1" applyBorder="1" applyAlignment="1">
      <alignment horizontal="center"/>
    </xf>
    <xf numFmtId="0" fontId="0" fillId="22" borderId="7" xfId="0" applyFill="1" applyBorder="1" applyAlignment="1">
      <alignment horizontal="center" wrapText="1"/>
    </xf>
    <xf numFmtId="0" fontId="2" fillId="12" borderId="7" xfId="0" applyNumberFormat="1" applyFont="1" applyFill="1" applyBorder="1" applyAlignment="1">
      <alignment horizontal="center"/>
    </xf>
    <xf numFmtId="0" fontId="0" fillId="0" borderId="41" xfId="0" applyBorder="1" applyAlignment="1"/>
    <xf numFmtId="0" fontId="0" fillId="0" borderId="37" xfId="0" applyBorder="1" applyAlignment="1"/>
    <xf numFmtId="0" fontId="1" fillId="0" borderId="37" xfId="0" applyFont="1" applyBorder="1" applyAlignment="1">
      <alignment vertical="center" wrapText="1"/>
    </xf>
    <xf numFmtId="0" fontId="1" fillId="27" borderId="5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26" borderId="4" xfId="0" applyFont="1" applyFill="1" applyBorder="1" applyAlignment="1">
      <alignment horizontal="center" vertical="center" wrapText="1"/>
    </xf>
    <xf numFmtId="0" fontId="7" fillId="26" borderId="5" xfId="0" applyFont="1" applyFill="1" applyBorder="1" applyAlignment="1">
      <alignment horizontal="center" vertical="center" wrapText="1"/>
    </xf>
    <xf numFmtId="0" fontId="7" fillId="26" borderId="6" xfId="0" applyFont="1" applyFill="1" applyBorder="1" applyAlignment="1">
      <alignment horizontal="center" vertical="center" wrapText="1"/>
    </xf>
    <xf numFmtId="0" fontId="7" fillId="28" borderId="5" xfId="0" applyFont="1" applyFill="1" applyBorder="1" applyAlignment="1">
      <alignment horizontal="center" vertical="center" wrapText="1"/>
    </xf>
    <xf numFmtId="0" fontId="7" fillId="28" borderId="29" xfId="0" applyFont="1" applyFill="1" applyBorder="1" applyAlignment="1">
      <alignment horizontal="center" vertical="center" wrapText="1"/>
    </xf>
    <xf numFmtId="0" fontId="0" fillId="0" borderId="28" xfId="0" applyBorder="1" applyAlignment="1"/>
    <xf numFmtId="0" fontId="0" fillId="0" borderId="5" xfId="0" applyBorder="1" applyAlignment="1"/>
    <xf numFmtId="0" fontId="1" fillId="0" borderId="5" xfId="0" applyFont="1" applyBorder="1" applyAlignment="1">
      <alignment horizontal="center" vertical="center" wrapText="1"/>
    </xf>
    <xf numFmtId="0" fontId="9" fillId="20" borderId="4" xfId="0" applyFont="1" applyFill="1" applyBorder="1" applyAlignment="1">
      <alignment vertical="center" wrapText="1"/>
    </xf>
    <xf numFmtId="0" fontId="0" fillId="20" borderId="5" xfId="0" applyFill="1" applyBorder="1" applyAlignment="1">
      <alignment vertical="center" wrapText="1"/>
    </xf>
    <xf numFmtId="172" fontId="0" fillId="20" borderId="5" xfId="0" applyNumberFormat="1" applyFill="1" applyBorder="1" applyAlignment="1">
      <alignment vertical="center" wrapText="1"/>
    </xf>
    <xf numFmtId="0" fontId="7" fillId="20" borderId="5" xfId="0" applyFont="1" applyFill="1" applyBorder="1" applyAlignment="1">
      <alignment horizontal="center" vertical="center" wrapText="1"/>
    </xf>
    <xf numFmtId="0" fontId="1" fillId="20" borderId="5" xfId="0" applyFont="1" applyFill="1" applyBorder="1" applyAlignment="1">
      <alignment horizontal="center" vertical="center" wrapText="1"/>
    </xf>
    <xf numFmtId="0" fontId="0" fillId="20" borderId="5" xfId="0" applyFill="1" applyBorder="1" applyAlignment="1"/>
    <xf numFmtId="14" fontId="0" fillId="0" borderId="7" xfId="0" applyNumberForma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172" fontId="0" fillId="0" borderId="7" xfId="0" applyNumberFormat="1" applyBorder="1" applyAlignment="1">
      <alignment vertical="center" wrapText="1"/>
    </xf>
    <xf numFmtId="168" fontId="0" fillId="0" borderId="7" xfId="0" applyNumberFormat="1" applyBorder="1" applyAlignment="1">
      <alignment vertical="center" wrapText="1"/>
    </xf>
    <xf numFmtId="167" fontId="0" fillId="0" borderId="7" xfId="0" applyNumberFormat="1" applyBorder="1" applyAlignment="1">
      <alignment vertical="center" wrapText="1"/>
    </xf>
    <xf numFmtId="169" fontId="0" fillId="0" borderId="7" xfId="0" applyNumberFormat="1" applyBorder="1" applyAlignment="1">
      <alignment vertical="center" wrapText="1"/>
    </xf>
    <xf numFmtId="170" fontId="0" fillId="0" borderId="7" xfId="0" applyNumberFormat="1" applyBorder="1" applyAlignment="1">
      <alignment vertical="center" wrapText="1"/>
    </xf>
    <xf numFmtId="171" fontId="0" fillId="0" borderId="7" xfId="0" applyNumberFormat="1" applyBorder="1" applyAlignment="1">
      <alignment vertical="center" wrapText="1"/>
    </xf>
    <xf numFmtId="14" fontId="9" fillId="20" borderId="4" xfId="0" applyNumberFormat="1" applyFont="1" applyFill="1" applyBorder="1" applyAlignment="1">
      <alignment vertical="center" wrapText="1"/>
    </xf>
    <xf numFmtId="168" fontId="0" fillId="20" borderId="5" xfId="0" applyNumberFormat="1" applyFill="1" applyBorder="1" applyAlignment="1">
      <alignment vertical="center" wrapText="1"/>
    </xf>
    <xf numFmtId="167" fontId="0" fillId="20" borderId="5" xfId="0" applyNumberFormat="1" applyFill="1" applyBorder="1" applyAlignment="1">
      <alignment vertical="center" wrapText="1"/>
    </xf>
    <xf numFmtId="169" fontId="0" fillId="20" borderId="5" xfId="0" applyNumberFormat="1" applyFill="1" applyBorder="1" applyAlignment="1">
      <alignment vertical="center" wrapText="1"/>
    </xf>
    <xf numFmtId="170" fontId="0" fillId="20" borderId="5" xfId="0" applyNumberFormat="1" applyFill="1" applyBorder="1" applyAlignment="1">
      <alignment vertical="center" wrapText="1"/>
    </xf>
    <xf numFmtId="171" fontId="0" fillId="20" borderId="5" xfId="0" applyNumberFormat="1" applyFill="1" applyBorder="1" applyAlignment="1">
      <alignment vertical="center" wrapText="1"/>
    </xf>
    <xf numFmtId="0" fontId="0" fillId="20" borderId="29" xfId="0" applyFill="1" applyBorder="1" applyAlignment="1">
      <alignment vertical="center" wrapText="1"/>
    </xf>
    <xf numFmtId="14" fontId="0" fillId="0" borderId="37" xfId="0" applyNumberForma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172" fontId="0" fillId="0" borderId="37" xfId="0" applyNumberFormat="1" applyBorder="1" applyAlignment="1">
      <alignment vertical="center" wrapText="1"/>
    </xf>
    <xf numFmtId="168" fontId="0" fillId="0" borderId="37" xfId="0" applyNumberFormat="1" applyBorder="1" applyAlignment="1">
      <alignment vertical="center" wrapText="1"/>
    </xf>
    <xf numFmtId="167" fontId="0" fillId="0" borderId="37" xfId="0" applyNumberFormat="1" applyBorder="1" applyAlignment="1">
      <alignment vertical="center" wrapText="1"/>
    </xf>
    <xf numFmtId="169" fontId="0" fillId="0" borderId="37" xfId="0" applyNumberFormat="1" applyBorder="1" applyAlignment="1">
      <alignment vertical="center" wrapText="1"/>
    </xf>
    <xf numFmtId="170" fontId="0" fillId="0" borderId="37" xfId="0" applyNumberFormat="1" applyBorder="1" applyAlignment="1">
      <alignment vertical="center" wrapText="1"/>
    </xf>
    <xf numFmtId="171" fontId="0" fillId="0" borderId="37" xfId="0" applyNumberFormat="1" applyBorder="1" applyAlignment="1">
      <alignment vertical="center" wrapText="1"/>
    </xf>
    <xf numFmtId="14" fontId="4" fillId="20" borderId="37" xfId="0" applyNumberFormat="1" applyFont="1" applyFill="1" applyBorder="1" applyAlignment="1">
      <alignment vertical="center" wrapText="1"/>
    </xf>
    <xf numFmtId="20" fontId="0" fillId="0" borderId="37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2" borderId="7" xfId="0" applyFill="1" applyBorder="1" applyAlignment="1">
      <alignment horizontal="center"/>
    </xf>
    <xf numFmtId="0" fontId="0" fillId="2" borderId="37" xfId="0" applyFill="1" applyBorder="1"/>
    <xf numFmtId="0" fontId="0" fillId="0" borderId="7" xfId="0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horizontal="center"/>
    </xf>
    <xf numFmtId="0" fontId="0" fillId="17" borderId="7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 wrapText="1"/>
    </xf>
    <xf numFmtId="14" fontId="4" fillId="20" borderId="4" xfId="0" applyNumberFormat="1" applyFont="1" applyFill="1" applyBorder="1" applyAlignment="1">
      <alignment vertical="center" wrapText="1"/>
    </xf>
    <xf numFmtId="172" fontId="0" fillId="0" borderId="5" xfId="0" applyNumberFormat="1" applyBorder="1" applyAlignment="1">
      <alignment vertical="center" wrapText="1"/>
    </xf>
    <xf numFmtId="168" fontId="0" fillId="0" borderId="5" xfId="0" applyNumberFormat="1" applyBorder="1" applyAlignment="1">
      <alignment vertical="center" wrapText="1"/>
    </xf>
    <xf numFmtId="167" fontId="0" fillId="0" borderId="5" xfId="0" applyNumberFormat="1" applyBorder="1" applyAlignment="1">
      <alignment vertical="center" wrapText="1"/>
    </xf>
    <xf numFmtId="169" fontId="0" fillId="0" borderId="5" xfId="0" applyNumberFormat="1" applyBorder="1" applyAlignment="1">
      <alignment vertical="center" wrapText="1"/>
    </xf>
    <xf numFmtId="170" fontId="0" fillId="0" borderId="5" xfId="0" applyNumberFormat="1" applyBorder="1" applyAlignment="1">
      <alignment vertical="center" wrapText="1"/>
    </xf>
    <xf numFmtId="171" fontId="0" fillId="0" borderId="5" xfId="0" applyNumberFormat="1" applyBorder="1" applyAlignment="1">
      <alignment vertical="center" wrapText="1"/>
    </xf>
    <xf numFmtId="165" fontId="0" fillId="0" borderId="49" xfId="0" applyNumberFormat="1" applyBorder="1"/>
    <xf numFmtId="166" fontId="0" fillId="0" borderId="48" xfId="0" applyNumberFormat="1" applyBorder="1"/>
    <xf numFmtId="166" fontId="0" fillId="0" borderId="49" xfId="0" applyNumberFormat="1" applyBorder="1"/>
    <xf numFmtId="166" fontId="0" fillId="0" borderId="27" xfId="0" applyNumberFormat="1" applyBorder="1"/>
    <xf numFmtId="166" fontId="0" fillId="0" borderId="50" xfId="0" applyNumberFormat="1" applyBorder="1"/>
    <xf numFmtId="173" fontId="7" fillId="28" borderId="4" xfId="0" applyNumberFormat="1" applyFont="1" applyFill="1" applyBorder="1" applyAlignment="1">
      <alignment horizontal="center" vertical="center" wrapText="1"/>
    </xf>
    <xf numFmtId="173" fontId="0" fillId="0" borderId="7" xfId="0" applyNumberFormat="1" applyBorder="1" applyAlignment="1">
      <alignment vertical="center" wrapText="1"/>
    </xf>
    <xf numFmtId="173" fontId="7" fillId="20" borderId="5" xfId="0" applyNumberFormat="1" applyFont="1" applyFill="1" applyBorder="1" applyAlignment="1">
      <alignment horizontal="center" vertical="center" wrapText="1"/>
    </xf>
    <xf numFmtId="173" fontId="0" fillId="20" borderId="5" xfId="0" applyNumberFormat="1" applyFill="1" applyBorder="1" applyAlignment="1">
      <alignment vertical="center" wrapText="1"/>
    </xf>
    <xf numFmtId="173" fontId="0" fillId="0" borderId="37" xfId="0" applyNumberFormat="1" applyBorder="1" applyAlignment="1">
      <alignment vertical="center" wrapText="1"/>
    </xf>
    <xf numFmtId="173" fontId="0" fillId="0" borderId="5" xfId="0" applyNumberFormat="1" applyBorder="1" applyAlignment="1">
      <alignment vertical="center" wrapText="1"/>
    </xf>
    <xf numFmtId="173" fontId="0" fillId="0" borderId="7" xfId="0" applyNumberFormat="1" applyBorder="1" applyAlignment="1">
      <alignment horizontal="center" vertical="center" wrapText="1"/>
    </xf>
    <xf numFmtId="173" fontId="2" fillId="2" borderId="7" xfId="0" applyNumberFormat="1" applyFont="1" applyFill="1" applyBorder="1" applyAlignment="1">
      <alignment horizontal="center"/>
    </xf>
    <xf numFmtId="164" fontId="0" fillId="0" borderId="21" xfId="0" applyNumberFormat="1" applyBorder="1"/>
    <xf numFmtId="164" fontId="0" fillId="0" borderId="32" xfId="0" applyNumberFormat="1" applyBorder="1"/>
    <xf numFmtId="0" fontId="1" fillId="0" borderId="31" xfId="0" applyFont="1" applyBorder="1" applyAlignment="1">
      <alignment horizontal="center" vertical="center"/>
    </xf>
    <xf numFmtId="0" fontId="0" fillId="20" borderId="18" xfId="0" applyFont="1" applyFill="1" applyBorder="1"/>
    <xf numFmtId="0" fontId="0" fillId="20" borderId="9" xfId="0" applyFont="1" applyFill="1" applyBorder="1"/>
    <xf numFmtId="0" fontId="0" fillId="20" borderId="9" xfId="0" applyFill="1" applyBorder="1"/>
    <xf numFmtId="0" fontId="0" fillId="20" borderId="19" xfId="0" applyFont="1" applyFill="1" applyBorder="1"/>
    <xf numFmtId="0" fontId="0" fillId="20" borderId="18" xfId="0" applyFill="1" applyBorder="1"/>
    <xf numFmtId="0" fontId="0" fillId="20" borderId="18" xfId="0" applyFill="1" applyBorder="1" applyAlignment="1">
      <alignment wrapText="1"/>
    </xf>
    <xf numFmtId="0" fontId="0" fillId="20" borderId="8" xfId="0" applyFont="1" applyFill="1" applyBorder="1" applyAlignment="1">
      <alignment wrapText="1"/>
    </xf>
    <xf numFmtId="0" fontId="0" fillId="20" borderId="9" xfId="0" applyFont="1" applyFill="1" applyBorder="1" applyAlignment="1">
      <alignment wrapText="1"/>
    </xf>
    <xf numFmtId="0" fontId="0" fillId="20" borderId="19" xfId="0" applyFill="1" applyBorder="1" applyAlignment="1">
      <alignment wrapText="1"/>
    </xf>
    <xf numFmtId="0" fontId="0" fillId="20" borderId="9" xfId="0" applyFill="1" applyBorder="1" applyAlignment="1">
      <alignment wrapText="1"/>
    </xf>
    <xf numFmtId="0" fontId="0" fillId="0" borderId="40" xfId="0" applyBorder="1"/>
    <xf numFmtId="0" fontId="0" fillId="2" borderId="39" xfId="0" applyFill="1" applyBorder="1" applyAlignment="1">
      <alignment wrapText="1"/>
    </xf>
    <xf numFmtId="0" fontId="0" fillId="0" borderId="24" xfId="0" applyBorder="1"/>
    <xf numFmtId="0" fontId="0" fillId="2" borderId="30" xfId="0" applyFill="1" applyBorder="1" applyAlignment="1">
      <alignment wrapText="1"/>
    </xf>
    <xf numFmtId="0" fontId="0" fillId="2" borderId="23" xfId="0" applyFill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16" xfId="0" applyBorder="1"/>
    <xf numFmtId="0" fontId="0" fillId="0" borderId="13" xfId="0" applyBorder="1" applyAlignment="1">
      <alignment wrapText="1"/>
    </xf>
    <xf numFmtId="0" fontId="0" fillId="2" borderId="44" xfId="0" applyFill="1" applyBorder="1" applyAlignment="1">
      <alignment wrapText="1"/>
    </xf>
    <xf numFmtId="0" fontId="0" fillId="0" borderId="7" xfId="0" applyBorder="1" applyAlignment="1">
      <alignment wrapText="1"/>
    </xf>
    <xf numFmtId="0" fontId="1" fillId="2" borderId="33" xfId="0" applyFont="1" applyFill="1" applyBorder="1" applyAlignment="1">
      <alignment horizontal="left" vertical="center"/>
    </xf>
    <xf numFmtId="164" fontId="0" fillId="2" borderId="4" xfId="0" applyNumberFormat="1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6" fontId="0" fillId="2" borderId="28" xfId="0" applyNumberFormat="1" applyFill="1" applyBorder="1"/>
    <xf numFmtId="166" fontId="0" fillId="2" borderId="5" xfId="0" applyNumberFormat="1" applyFill="1" applyBorder="1"/>
    <xf numFmtId="166" fontId="0" fillId="2" borderId="29" xfId="0" applyNumberFormat="1" applyFill="1" applyBorder="1"/>
    <xf numFmtId="165" fontId="0" fillId="2" borderId="4" xfId="0" applyNumberFormat="1" applyFill="1" applyBorder="1"/>
    <xf numFmtId="165" fontId="0" fillId="2" borderId="5" xfId="0" applyNumberFormat="1" applyFill="1" applyBorder="1"/>
    <xf numFmtId="167" fontId="0" fillId="2" borderId="5" xfId="0" applyNumberFormat="1" applyFill="1" applyBorder="1"/>
    <xf numFmtId="170" fontId="0" fillId="2" borderId="5" xfId="0" applyNumberFormat="1" applyFill="1" applyBorder="1"/>
    <xf numFmtId="171" fontId="0" fillId="2" borderId="5" xfId="0" applyNumberFormat="1" applyFill="1" applyBorder="1"/>
    <xf numFmtId="0" fontId="0" fillId="2" borderId="5" xfId="0" applyFill="1" applyBorder="1"/>
    <xf numFmtId="174" fontId="0" fillId="2" borderId="5" xfId="0" applyNumberFormat="1" applyFill="1" applyBorder="1"/>
    <xf numFmtId="167" fontId="0" fillId="2" borderId="4" xfId="0" applyNumberFormat="1" applyFill="1" applyBorder="1"/>
    <xf numFmtId="165" fontId="0" fillId="2" borderId="29" xfId="0" applyNumberFormat="1" applyFill="1" applyBorder="1"/>
    <xf numFmtId="169" fontId="0" fillId="2" borderId="28" xfId="0" applyNumberFormat="1" applyFill="1" applyBorder="1"/>
    <xf numFmtId="0" fontId="0" fillId="0" borderId="48" xfId="0" applyBorder="1" applyAlignment="1">
      <alignment horizontal="left" vertical="center" wrapText="1"/>
    </xf>
    <xf numFmtId="165" fontId="0" fillId="0" borderId="52" xfId="0" applyNumberFormat="1" applyBorder="1"/>
    <xf numFmtId="0" fontId="0" fillId="2" borderId="55" xfId="0" applyFill="1" applyBorder="1" applyAlignment="1">
      <alignment wrapText="1"/>
    </xf>
    <xf numFmtId="0" fontId="0" fillId="2" borderId="36" xfId="0" applyFill="1" applyBorder="1" applyAlignment="1">
      <alignment wrapText="1"/>
    </xf>
    <xf numFmtId="0" fontId="0" fillId="2" borderId="21" xfId="0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21" xfId="0" applyBorder="1"/>
    <xf numFmtId="164" fontId="0" fillId="2" borderId="7" xfId="0" applyNumberFormat="1" applyFill="1" applyBorder="1" applyAlignment="1">
      <alignment horizontal="right"/>
    </xf>
    <xf numFmtId="164" fontId="0" fillId="2" borderId="23" xfId="0" applyNumberFormat="1" applyFill="1" applyBorder="1" applyAlignment="1">
      <alignment horizontal="right"/>
    </xf>
    <xf numFmtId="164" fontId="0" fillId="2" borderId="24" xfId="0" applyNumberFormat="1" applyFill="1" applyBorder="1" applyAlignment="1">
      <alignment horizontal="right"/>
    </xf>
    <xf numFmtId="166" fontId="0" fillId="2" borderId="21" xfId="0" applyNumberFormat="1" applyFill="1" applyBorder="1" applyAlignment="1">
      <alignment horizontal="right"/>
    </xf>
    <xf numFmtId="174" fontId="0" fillId="2" borderId="7" xfId="0" applyNumberFormat="1" applyFill="1" applyBorder="1" applyAlignment="1">
      <alignment horizontal="right"/>
    </xf>
    <xf numFmtId="166" fontId="0" fillId="2" borderId="7" xfId="0" applyNumberFormat="1" applyFill="1" applyBorder="1" applyAlignment="1">
      <alignment horizontal="right"/>
    </xf>
    <xf numFmtId="166" fontId="0" fillId="2" borderId="20" xfId="0" applyNumberFormat="1" applyFill="1" applyBorder="1" applyAlignment="1">
      <alignment horizontal="right"/>
    </xf>
    <xf numFmtId="165" fontId="0" fillId="2" borderId="23" xfId="0" applyNumberFormat="1" applyFill="1" applyBorder="1" applyAlignment="1">
      <alignment horizontal="right"/>
    </xf>
    <xf numFmtId="165" fontId="0" fillId="2" borderId="7" xfId="0" applyNumberFormat="1" applyFill="1" applyBorder="1" applyAlignment="1">
      <alignment horizontal="right"/>
    </xf>
    <xf numFmtId="165" fontId="0" fillId="2" borderId="20" xfId="0" applyNumberFormat="1" applyFill="1" applyBorder="1" applyAlignment="1">
      <alignment horizontal="right"/>
    </xf>
    <xf numFmtId="167" fontId="0" fillId="2" borderId="11" xfId="0" applyNumberFormat="1" applyFill="1" applyBorder="1" applyAlignment="1">
      <alignment horizontal="right"/>
    </xf>
    <xf numFmtId="167" fontId="0" fillId="2" borderId="12" xfId="0" applyNumberFormat="1" applyFill="1" applyBorder="1" applyAlignment="1">
      <alignment horizontal="right"/>
    </xf>
    <xf numFmtId="169" fontId="0" fillId="2" borderId="27" xfId="0" applyNumberFormat="1" applyFill="1" applyBorder="1" applyAlignment="1">
      <alignment horizontal="right"/>
    </xf>
    <xf numFmtId="170" fontId="0" fillId="2" borderId="27" xfId="0" applyNumberFormat="1" applyFill="1" applyBorder="1" applyAlignment="1">
      <alignment horizontal="right"/>
    </xf>
    <xf numFmtId="170" fontId="0" fillId="2" borderId="25" xfId="0" applyNumberFormat="1" applyFill="1" applyBorder="1" applyAlignment="1">
      <alignment horizontal="right"/>
    </xf>
    <xf numFmtId="171" fontId="0" fillId="2" borderId="25" xfId="0" applyNumberFormat="1" applyFill="1" applyBorder="1" applyAlignment="1">
      <alignment horizontal="right"/>
    </xf>
    <xf numFmtId="171" fontId="0" fillId="2" borderId="40" xfId="0" applyNumberFormat="1" applyFill="1" applyBorder="1" applyAlignment="1">
      <alignment horizontal="right" wrapText="1"/>
    </xf>
    <xf numFmtId="0" fontId="0" fillId="2" borderId="27" xfId="0" applyFill="1" applyBorder="1" applyAlignment="1">
      <alignment horizontal="right" wrapText="1"/>
    </xf>
    <xf numFmtId="0" fontId="0" fillId="2" borderId="25" xfId="0" applyFill="1" applyBorder="1" applyAlignment="1">
      <alignment horizontal="right"/>
    </xf>
    <xf numFmtId="167" fontId="0" fillId="2" borderId="23" xfId="0" applyNumberFormat="1" applyFill="1" applyBorder="1" applyAlignment="1">
      <alignment horizontal="right"/>
    </xf>
    <xf numFmtId="167" fontId="0" fillId="2" borderId="7" xfId="0" applyNumberFormat="1" applyFill="1" applyBorder="1" applyAlignment="1">
      <alignment horizontal="right"/>
    </xf>
    <xf numFmtId="169" fontId="0" fillId="2" borderId="21" xfId="0" applyNumberFormat="1" applyFill="1" applyBorder="1" applyAlignment="1">
      <alignment horizontal="right"/>
    </xf>
    <xf numFmtId="170" fontId="0" fillId="2" borderId="21" xfId="0" applyNumberFormat="1" applyFill="1" applyBorder="1" applyAlignment="1">
      <alignment horizontal="right"/>
    </xf>
    <xf numFmtId="170" fontId="0" fillId="2" borderId="7" xfId="0" applyNumberFormat="1" applyFill="1" applyBorder="1" applyAlignment="1">
      <alignment horizontal="right"/>
    </xf>
    <xf numFmtId="171" fontId="0" fillId="2" borderId="7" xfId="0" applyNumberFormat="1" applyFill="1" applyBorder="1" applyAlignment="1">
      <alignment horizontal="right"/>
    </xf>
    <xf numFmtId="171" fontId="0" fillId="2" borderId="24" xfId="0" applyNumberFormat="1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164" fontId="0" fillId="2" borderId="30" xfId="0" applyNumberFormat="1" applyFill="1" applyBorder="1" applyAlignment="1">
      <alignment horizontal="right"/>
    </xf>
    <xf numFmtId="164" fontId="0" fillId="2" borderId="52" xfId="0" applyNumberFormat="1" applyFill="1" applyBorder="1" applyAlignment="1">
      <alignment horizontal="right"/>
    </xf>
    <xf numFmtId="165" fontId="0" fillId="2" borderId="30" xfId="0" applyNumberFormat="1" applyFill="1" applyBorder="1" applyAlignment="1">
      <alignment horizontal="right"/>
    </xf>
    <xf numFmtId="165" fontId="0" fillId="2" borderId="36" xfId="0" applyNumberFormat="1" applyFill="1" applyBorder="1" applyAlignment="1">
      <alignment horizontal="right"/>
    </xf>
    <xf numFmtId="164" fontId="0" fillId="2" borderId="21" xfId="0" applyNumberFormat="1" applyFill="1" applyBorder="1" applyAlignment="1">
      <alignment horizontal="right"/>
    </xf>
    <xf numFmtId="167" fontId="0" fillId="2" borderId="21" xfId="0" applyNumberFormat="1" applyFill="1" applyBorder="1" applyAlignment="1">
      <alignment horizontal="right"/>
    </xf>
    <xf numFmtId="0" fontId="0" fillId="2" borderId="26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15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0" borderId="38" xfId="0" applyNumberFormat="1" applyFill="1" applyBorder="1"/>
    <xf numFmtId="1" fontId="0" fillId="0" borderId="41" xfId="0" applyNumberFormat="1" applyBorder="1" applyAlignment="1"/>
    <xf numFmtId="1" fontId="0" fillId="23" borderId="28" xfId="0" applyNumberFormat="1" applyFill="1" applyBorder="1"/>
    <xf numFmtId="1" fontId="0" fillId="0" borderId="37" xfId="0" applyNumberFormat="1" applyBorder="1" applyAlignment="1"/>
    <xf numFmtId="1" fontId="0" fillId="23" borderId="4" xfId="0" applyNumberFormat="1" applyFill="1" applyBorder="1"/>
    <xf numFmtId="170" fontId="0" fillId="0" borderId="5" xfId="0" applyNumberFormat="1" applyFont="1" applyBorder="1" applyAlignment="1">
      <alignment vertical="center" wrapText="1"/>
    </xf>
    <xf numFmtId="170" fontId="0" fillId="0" borderId="6" xfId="0" applyNumberFormat="1" applyFont="1" applyBorder="1" applyAlignment="1">
      <alignment vertical="center" wrapText="1"/>
    </xf>
    <xf numFmtId="1" fontId="0" fillId="23" borderId="35" xfId="0" applyNumberFormat="1" applyFill="1" applyBorder="1" applyAlignment="1"/>
    <xf numFmtId="164" fontId="0" fillId="0" borderId="53" xfId="0" applyNumberFormat="1" applyFont="1" applyBorder="1" applyAlignment="1">
      <alignment horizontal="left" vertical="center" wrapText="1"/>
    </xf>
    <xf numFmtId="164" fontId="0" fillId="0" borderId="48" xfId="0" applyNumberFormat="1" applyFont="1" applyBorder="1" applyAlignment="1">
      <alignment horizontal="left" vertical="center" wrapText="1"/>
    </xf>
    <xf numFmtId="164" fontId="0" fillId="0" borderId="54" xfId="0" applyNumberFormat="1" applyFont="1" applyBorder="1" applyAlignment="1">
      <alignment horizontal="left" vertical="center" wrapText="1"/>
    </xf>
    <xf numFmtId="164" fontId="0" fillId="0" borderId="53" xfId="0" applyNumberFormat="1" applyBorder="1" applyAlignment="1">
      <alignment horizontal="left" vertical="center" wrapText="1"/>
    </xf>
    <xf numFmtId="0" fontId="0" fillId="0" borderId="48" xfId="0" applyBorder="1" applyAlignment="1">
      <alignment vertical="center" wrapText="1"/>
    </xf>
    <xf numFmtId="0" fontId="0" fillId="0" borderId="48" xfId="0" applyFont="1" applyBorder="1" applyAlignment="1">
      <alignment horizontal="left" vertical="center" wrapText="1"/>
    </xf>
    <xf numFmtId="0" fontId="1" fillId="2" borderId="34" xfId="0" applyFont="1" applyFill="1" applyBorder="1"/>
    <xf numFmtId="171" fontId="0" fillId="0" borderId="50" xfId="0" applyNumberFormat="1" applyFont="1" applyBorder="1" applyAlignment="1">
      <alignment horizontal="left" vertical="center" wrapText="1"/>
    </xf>
    <xf numFmtId="0" fontId="1" fillId="2" borderId="28" xfId="0" applyFont="1" applyFill="1" applyBorder="1"/>
    <xf numFmtId="168" fontId="0" fillId="0" borderId="5" xfId="0" applyNumberFormat="1" applyBorder="1" applyAlignment="1">
      <alignment horizontal="left" vertical="center" wrapText="1"/>
    </xf>
    <xf numFmtId="164" fontId="0" fillId="0" borderId="4" xfId="0" applyNumberFormat="1" applyFont="1" applyBorder="1"/>
    <xf numFmtId="164" fontId="0" fillId="0" borderId="6" xfId="0" applyNumberFormat="1" applyBorder="1"/>
    <xf numFmtId="1" fontId="0" fillId="0" borderId="26" xfId="0" applyNumberFormat="1" applyBorder="1" applyAlignment="1"/>
    <xf numFmtId="1" fontId="0" fillId="0" borderId="20" xfId="0" applyNumberFormat="1" applyBorder="1" applyAlignment="1"/>
    <xf numFmtId="1" fontId="0" fillId="0" borderId="42" xfId="0" applyNumberFormat="1" applyBorder="1" applyAlignment="1"/>
    <xf numFmtId="1" fontId="0" fillId="23" borderId="29" xfId="0" applyNumberFormat="1" applyFill="1" applyBorder="1" applyAlignment="1"/>
    <xf numFmtId="0" fontId="0" fillId="0" borderId="23" xfId="0" applyBorder="1" applyAlignment="1"/>
    <xf numFmtId="164" fontId="0" fillId="0" borderId="56" xfId="0" applyNumberFormat="1" applyBorder="1"/>
    <xf numFmtId="0" fontId="0" fillId="0" borderId="32" xfId="0" applyBorder="1"/>
    <xf numFmtId="0" fontId="0" fillId="0" borderId="14" xfId="0" applyBorder="1"/>
    <xf numFmtId="164" fontId="0" fillId="0" borderId="27" xfId="0" applyNumberFormat="1" applyBorder="1"/>
    <xf numFmtId="49" fontId="1" fillId="9" borderId="10" xfId="0" applyNumberFormat="1" applyFont="1" applyFill="1" applyBorder="1" applyAlignment="1">
      <alignment wrapText="1"/>
    </xf>
    <xf numFmtId="49" fontId="0" fillId="20" borderId="10" xfId="0" applyNumberFormat="1" applyFill="1" applyBorder="1" applyAlignment="1">
      <alignment horizontal="center" wrapText="1"/>
    </xf>
    <xf numFmtId="49" fontId="0" fillId="2" borderId="43" xfId="0" applyNumberFormat="1" applyFill="1" applyBorder="1" applyAlignment="1">
      <alignment wrapText="1"/>
    </xf>
    <xf numFmtId="49" fontId="0" fillId="2" borderId="22" xfId="0" applyNumberFormat="1" applyFill="1" applyBorder="1" applyAlignment="1">
      <alignment wrapText="1"/>
    </xf>
    <xf numFmtId="49" fontId="0" fillId="0" borderId="22" xfId="0" applyNumberFormat="1" applyBorder="1" applyAlignment="1">
      <alignment wrapText="1"/>
    </xf>
    <xf numFmtId="49" fontId="0" fillId="0" borderId="17" xfId="0" applyNumberFormat="1" applyBorder="1" applyAlignment="1">
      <alignment wrapText="1"/>
    </xf>
    <xf numFmtId="49" fontId="0" fillId="0" borderId="22" xfId="0" applyNumberFormat="1" applyBorder="1" applyAlignment="1"/>
    <xf numFmtId="49" fontId="0" fillId="0" borderId="47" xfId="0" applyNumberFormat="1" applyBorder="1" applyAlignment="1">
      <alignment wrapText="1"/>
    </xf>
    <xf numFmtId="0" fontId="0" fillId="0" borderId="25" xfId="0" applyBorder="1" applyAlignment="1">
      <alignment vertical="center" wrapText="1"/>
    </xf>
    <xf numFmtId="0" fontId="0" fillId="2" borderId="25" xfId="0" applyFill="1" applyBorder="1"/>
    <xf numFmtId="173" fontId="0" fillId="0" borderId="25" xfId="0" applyNumberFormat="1" applyBorder="1" applyAlignment="1">
      <alignment vertical="center" wrapText="1"/>
    </xf>
    <xf numFmtId="0" fontId="4" fillId="20" borderId="4" xfId="0" applyFont="1" applyFill="1" applyBorder="1" applyAlignment="1">
      <alignment vertical="center" wrapText="1"/>
    </xf>
    <xf numFmtId="49" fontId="0" fillId="0" borderId="22" xfId="0" applyNumberFormat="1" applyBorder="1" applyAlignment="1">
      <alignment horizontal="left" wrapText="1"/>
    </xf>
    <xf numFmtId="164" fontId="0" fillId="0" borderId="23" xfId="0" applyNumberFormat="1" applyBorder="1" applyAlignment="1">
      <alignment wrapText="1"/>
    </xf>
    <xf numFmtId="164" fontId="0" fillId="0" borderId="7" xfId="0" applyNumberFormat="1" applyBorder="1" applyAlignment="1">
      <alignment wrapText="1"/>
    </xf>
    <xf numFmtId="164" fontId="0" fillId="0" borderId="25" xfId="0" applyNumberFormat="1" applyBorder="1" applyAlignment="1">
      <alignment wrapText="1"/>
    </xf>
    <xf numFmtId="164" fontId="0" fillId="0" borderId="24" xfId="0" applyNumberFormat="1" applyBorder="1" applyAlignment="1">
      <alignment wrapText="1"/>
    </xf>
    <xf numFmtId="166" fontId="0" fillId="0" borderId="23" xfId="0" applyNumberFormat="1" applyBorder="1" applyAlignment="1">
      <alignment wrapText="1"/>
    </xf>
    <xf numFmtId="166" fontId="0" fillId="0" borderId="7" xfId="0" applyNumberFormat="1" applyBorder="1" applyAlignment="1">
      <alignment wrapText="1"/>
    </xf>
    <xf numFmtId="166" fontId="0" fillId="0" borderId="24" xfId="0" applyNumberFormat="1" applyBorder="1" applyAlignment="1">
      <alignment wrapText="1"/>
    </xf>
    <xf numFmtId="165" fontId="0" fillId="0" borderId="23" xfId="0" applyNumberFormat="1" applyBorder="1" applyAlignment="1">
      <alignment wrapText="1"/>
    </xf>
    <xf numFmtId="165" fontId="0" fillId="0" borderId="7" xfId="0" applyNumberFormat="1" applyBorder="1" applyAlignment="1">
      <alignment wrapText="1"/>
    </xf>
    <xf numFmtId="165" fontId="0" fillId="0" borderId="24" xfId="0" applyNumberFormat="1" applyBorder="1" applyAlignment="1">
      <alignment wrapText="1"/>
    </xf>
    <xf numFmtId="167" fontId="0" fillId="0" borderId="23" xfId="0" applyNumberFormat="1" applyBorder="1" applyAlignment="1">
      <alignment wrapText="1"/>
    </xf>
    <xf numFmtId="167" fontId="0" fillId="0" borderId="21" xfId="0" applyNumberFormat="1" applyBorder="1" applyAlignment="1">
      <alignment wrapText="1"/>
    </xf>
    <xf numFmtId="167" fontId="0" fillId="0" borderId="7" xfId="0" applyNumberFormat="1" applyBorder="1" applyAlignment="1">
      <alignment wrapText="1"/>
    </xf>
    <xf numFmtId="0" fontId="0" fillId="0" borderId="24" xfId="0" applyBorder="1" applyAlignment="1">
      <alignment wrapText="1"/>
    </xf>
    <xf numFmtId="169" fontId="0" fillId="0" borderId="7" xfId="0" applyNumberFormat="1" applyBorder="1" applyAlignment="1">
      <alignment wrapText="1"/>
    </xf>
    <xf numFmtId="170" fontId="0" fillId="0" borderId="7" xfId="0" applyNumberFormat="1" applyBorder="1" applyAlignment="1">
      <alignment wrapText="1"/>
    </xf>
    <xf numFmtId="171" fontId="0" fillId="0" borderId="7" xfId="0" applyNumberFormat="1" applyBorder="1" applyAlignment="1">
      <alignment wrapText="1"/>
    </xf>
    <xf numFmtId="171" fontId="0" fillId="0" borderId="24" xfId="0" applyNumberFormat="1" applyBorder="1" applyAlignment="1">
      <alignment wrapText="1"/>
    </xf>
    <xf numFmtId="20" fontId="0" fillId="0" borderId="7" xfId="0" applyNumberFormat="1" applyBorder="1" applyAlignment="1">
      <alignment vertical="center" wrapText="1"/>
    </xf>
    <xf numFmtId="14" fontId="0" fillId="0" borderId="37" xfId="0" applyNumberFormat="1" applyFont="1" applyBorder="1" applyAlignment="1">
      <alignment vertical="center" wrapText="1"/>
    </xf>
    <xf numFmtId="165" fontId="0" fillId="0" borderId="5" xfId="0" applyNumberFormat="1" applyBorder="1" applyAlignment="1">
      <alignment horizontal="left" vertical="center" wrapText="1"/>
    </xf>
    <xf numFmtId="167" fontId="0" fillId="0" borderId="6" xfId="0" applyNumberFormat="1" applyBorder="1" applyAlignment="1">
      <alignment vertical="center" wrapText="1"/>
    </xf>
    <xf numFmtId="164" fontId="0" fillId="0" borderId="54" xfId="0" applyNumberFormat="1" applyBorder="1" applyAlignment="1">
      <alignment horizontal="left" vertical="center" wrapText="1"/>
    </xf>
    <xf numFmtId="167" fontId="0" fillId="0" borderId="28" xfId="0" applyNumberFormat="1" applyBorder="1" applyAlignment="1">
      <alignment horizontal="left" vertical="center" wrapText="1"/>
    </xf>
    <xf numFmtId="164" fontId="0" fillId="0" borderId="5" xfId="0" applyNumberFormat="1" applyBorder="1" applyAlignment="1">
      <alignment horizontal="left" vertical="center" wrapText="1"/>
    </xf>
    <xf numFmtId="165" fontId="0" fillId="0" borderId="5" xfId="0" applyNumberForma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164" fontId="0" fillId="0" borderId="0" xfId="0" applyNumberFormat="1" applyFill="1" applyBorder="1"/>
    <xf numFmtId="166" fontId="0" fillId="0" borderId="0" xfId="0" applyNumberFormat="1" applyFill="1" applyBorder="1"/>
    <xf numFmtId="165" fontId="0" fillId="0" borderId="0" xfId="0" applyNumberFormat="1" applyFill="1" applyBorder="1"/>
    <xf numFmtId="167" fontId="0" fillId="0" borderId="0" xfId="0" applyNumberFormat="1" applyFill="1" applyBorder="1"/>
    <xf numFmtId="168" fontId="0" fillId="0" borderId="0" xfId="0" applyNumberFormat="1" applyFill="1" applyBorder="1"/>
    <xf numFmtId="0" fontId="0" fillId="0" borderId="0" xfId="0" applyFill="1" applyBorder="1"/>
    <xf numFmtId="169" fontId="0" fillId="0" borderId="0" xfId="0" applyNumberFormat="1" applyFill="1" applyBorder="1"/>
    <xf numFmtId="170" fontId="0" fillId="0" borderId="0" xfId="0" applyNumberFormat="1" applyFill="1" applyBorder="1"/>
    <xf numFmtId="171" fontId="0" fillId="0" borderId="0" xfId="0" applyNumberFormat="1" applyFill="1" applyBorder="1"/>
    <xf numFmtId="0" fontId="0" fillId="0" borderId="0" xfId="0" applyFill="1"/>
    <xf numFmtId="164" fontId="0" fillId="0" borderId="0" xfId="0" applyNumberFormat="1" applyFill="1"/>
    <xf numFmtId="166" fontId="0" fillId="0" borderId="0" xfId="0" applyNumberFormat="1" applyFill="1"/>
    <xf numFmtId="165" fontId="0" fillId="0" borderId="0" xfId="0" applyNumberFormat="1" applyFill="1"/>
    <xf numFmtId="167" fontId="0" fillId="0" borderId="0" xfId="0" applyNumberFormat="1" applyFill="1"/>
    <xf numFmtId="168" fontId="0" fillId="0" borderId="0" xfId="0" applyNumberFormat="1" applyFill="1"/>
    <xf numFmtId="169" fontId="0" fillId="0" borderId="0" xfId="0" applyNumberFormat="1" applyFill="1"/>
    <xf numFmtId="170" fontId="0" fillId="0" borderId="0" xfId="0" applyNumberFormat="1" applyFill="1"/>
    <xf numFmtId="171" fontId="0" fillId="0" borderId="0" xfId="0" applyNumberFormat="1" applyFill="1"/>
    <xf numFmtId="167" fontId="0" fillId="0" borderId="11" xfId="0" applyNumberFormat="1" applyBorder="1"/>
    <xf numFmtId="167" fontId="0" fillId="0" borderId="12" xfId="0" applyNumberFormat="1" applyBorder="1"/>
    <xf numFmtId="0" fontId="0" fillId="0" borderId="15" xfId="0" applyBorder="1"/>
    <xf numFmtId="0" fontId="0" fillId="13" borderId="20" xfId="0" applyFill="1" applyBorder="1" applyAlignment="1">
      <alignment horizontal="center" vertical="center" wrapText="1"/>
    </xf>
    <xf numFmtId="0" fontId="0" fillId="22" borderId="20" xfId="0" applyFill="1" applyBorder="1" applyAlignment="1">
      <alignment horizontal="center" wrapText="1"/>
    </xf>
    <xf numFmtId="0" fontId="0" fillId="17" borderId="20" xfId="0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68" fontId="0" fillId="0" borderId="38" xfId="0" applyNumberFormat="1" applyBorder="1" applyAlignment="1">
      <alignment horizontal="center" vertical="center" wrapText="1"/>
    </xf>
    <xf numFmtId="168" fontId="0" fillId="0" borderId="7" xfId="0" applyNumberFormat="1" applyBorder="1" applyAlignment="1">
      <alignment horizontal="center" vertical="center" wrapText="1"/>
    </xf>
    <xf numFmtId="14" fontId="0" fillId="0" borderId="57" xfId="0" applyNumberFormat="1" applyBorder="1"/>
    <xf numFmtId="164" fontId="0" fillId="0" borderId="58" xfId="0" applyNumberFormat="1" applyBorder="1"/>
    <xf numFmtId="164" fontId="0" fillId="0" borderId="37" xfId="0" applyNumberFormat="1" applyBorder="1"/>
    <xf numFmtId="164" fontId="0" fillId="0" borderId="42" xfId="0" applyNumberFormat="1" applyBorder="1"/>
    <xf numFmtId="164" fontId="0" fillId="0" borderId="59" xfId="0" applyNumberFormat="1" applyBorder="1"/>
    <xf numFmtId="166" fontId="0" fillId="0" borderId="58" xfId="0" applyNumberFormat="1" applyBorder="1"/>
    <xf numFmtId="166" fontId="0" fillId="0" borderId="37" xfId="0" applyNumberFormat="1" applyBorder="1"/>
    <xf numFmtId="166" fontId="0" fillId="0" borderId="59" xfId="0" applyNumberFormat="1" applyBorder="1"/>
    <xf numFmtId="165" fontId="0" fillId="0" borderId="58" xfId="0" applyNumberFormat="1" applyBorder="1"/>
    <xf numFmtId="165" fontId="0" fillId="0" borderId="37" xfId="0" applyNumberFormat="1" applyBorder="1"/>
    <xf numFmtId="165" fontId="0" fillId="0" borderId="59" xfId="0" applyNumberFormat="1" applyBorder="1"/>
    <xf numFmtId="167" fontId="0" fillId="0" borderId="58" xfId="0" applyNumberFormat="1" applyBorder="1"/>
    <xf numFmtId="167" fontId="0" fillId="0" borderId="41" xfId="0" applyNumberFormat="1" applyBorder="1"/>
    <xf numFmtId="167" fontId="0" fillId="0" borderId="37" xfId="0" applyNumberFormat="1" applyBorder="1"/>
    <xf numFmtId="0" fontId="0" fillId="0" borderId="59" xfId="0" applyBorder="1"/>
    <xf numFmtId="0" fontId="0" fillId="0" borderId="58" xfId="0" applyBorder="1" applyAlignment="1">
      <alignment wrapText="1"/>
    </xf>
    <xf numFmtId="169" fontId="0" fillId="0" borderId="37" xfId="0" applyNumberFormat="1" applyBorder="1"/>
    <xf numFmtId="170" fontId="0" fillId="0" borderId="37" xfId="0" applyNumberFormat="1" applyBorder="1"/>
    <xf numFmtId="171" fontId="0" fillId="0" borderId="37" xfId="0" applyNumberFormat="1" applyBorder="1"/>
    <xf numFmtId="171" fontId="0" fillId="0" borderId="59" xfId="0" applyNumberFormat="1" applyBorder="1"/>
    <xf numFmtId="49" fontId="0" fillId="0" borderId="60" xfId="0" applyNumberFormat="1" applyBorder="1" applyAlignment="1">
      <alignment wrapText="1"/>
    </xf>
    <xf numFmtId="0" fontId="0" fillId="0" borderId="41" xfId="0" applyBorder="1"/>
    <xf numFmtId="0" fontId="0" fillId="0" borderId="37" xfId="0" applyBorder="1"/>
    <xf numFmtId="14" fontId="0" fillId="0" borderId="61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62" xfId="0" applyNumberFormat="1" applyBorder="1"/>
    <xf numFmtId="164" fontId="0" fillId="0" borderId="15" xfId="0" applyNumberFormat="1" applyBorder="1"/>
    <xf numFmtId="166" fontId="0" fillId="0" borderId="11" xfId="0" applyNumberFormat="1" applyBorder="1"/>
    <xf numFmtId="166" fontId="0" fillId="0" borderId="12" xfId="0" applyNumberFormat="1" applyBorder="1"/>
    <xf numFmtId="166" fontId="0" fillId="0" borderId="15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165" fontId="0" fillId="0" borderId="15" xfId="0" applyNumberFormat="1" applyBorder="1"/>
    <xf numFmtId="167" fontId="0" fillId="0" borderId="63" xfId="0" applyNumberFormat="1" applyBorder="1"/>
    <xf numFmtId="0" fontId="0" fillId="2" borderId="61" xfId="0" applyFill="1" applyBorder="1" applyAlignment="1">
      <alignment wrapText="1"/>
    </xf>
    <xf numFmtId="169" fontId="0" fillId="2" borderId="12" xfId="0" applyNumberFormat="1" applyFill="1" applyBorder="1"/>
    <xf numFmtId="170" fontId="0" fillId="2" borderId="12" xfId="0" applyNumberFormat="1" applyFill="1" applyBorder="1"/>
    <xf numFmtId="171" fontId="0" fillId="2" borderId="12" xfId="0" applyNumberFormat="1" applyFill="1" applyBorder="1"/>
    <xf numFmtId="171" fontId="0" fillId="2" borderId="15" xfId="0" applyNumberFormat="1" applyFill="1" applyBorder="1"/>
    <xf numFmtId="49" fontId="0" fillId="2" borderId="64" xfId="0" applyNumberFormat="1" applyFill="1" applyBorder="1" applyAlignment="1">
      <alignment wrapText="1"/>
    </xf>
    <xf numFmtId="0" fontId="0" fillId="0" borderId="63" xfId="0" applyBorder="1"/>
    <xf numFmtId="0" fontId="0" fillId="0" borderId="12" xfId="0" applyBorder="1"/>
    <xf numFmtId="14" fontId="0" fillId="0" borderId="44" xfId="0" applyNumberFormat="1" applyBorder="1"/>
    <xf numFmtId="14" fontId="0" fillId="0" borderId="65" xfId="0" applyNumberFormat="1" applyBorder="1"/>
    <xf numFmtId="0" fontId="0" fillId="0" borderId="4" xfId="0" applyFont="1" applyBorder="1" applyAlignment="1">
      <alignment horizontal="left" vertical="center" wrapText="1"/>
    </xf>
    <xf numFmtId="0" fontId="1" fillId="4" borderId="1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6" borderId="33" xfId="0" applyFont="1" applyFill="1" applyBorder="1" applyAlignment="1">
      <alignment horizontal="center" vertical="center"/>
    </xf>
    <xf numFmtId="0" fontId="0" fillId="0" borderId="34" xfId="0" applyBorder="1"/>
    <xf numFmtId="0" fontId="0" fillId="0" borderId="35" xfId="0" applyBorder="1"/>
    <xf numFmtId="0" fontId="1" fillId="7" borderId="33" xfId="0" applyFont="1" applyFill="1" applyBorder="1" applyAlignment="1">
      <alignment horizontal="center"/>
    </xf>
    <xf numFmtId="0" fontId="1" fillId="7" borderId="34" xfId="0" applyFont="1" applyFill="1" applyBorder="1" applyAlignment="1">
      <alignment horizontal="center"/>
    </xf>
    <xf numFmtId="0" fontId="1" fillId="7" borderId="35" xfId="0" applyFont="1" applyFill="1" applyBorder="1" applyAlignment="1">
      <alignment horizontal="center"/>
    </xf>
    <xf numFmtId="0" fontId="1" fillId="8" borderId="33" xfId="0" applyFont="1" applyFill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0" fontId="1" fillId="8" borderId="35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0" fillId="11" borderId="20" xfId="0" applyFill="1" applyBorder="1" applyAlignment="1">
      <alignment horizontal="center" vertical="center" wrapText="1"/>
    </xf>
    <xf numFmtId="0" fontId="0" fillId="11" borderId="21" xfId="0" applyFill="1" applyBorder="1" applyAlignment="1">
      <alignment horizontal="center" vertical="center" wrapText="1"/>
    </xf>
    <xf numFmtId="0" fontId="0" fillId="12" borderId="20" xfId="0" applyFill="1" applyBorder="1" applyAlignment="1">
      <alignment horizontal="center" vertical="center" wrapText="1"/>
    </xf>
    <xf numFmtId="0" fontId="0" fillId="12" borderId="21" xfId="0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10" borderId="20" xfId="0" applyFill="1" applyBorder="1" applyAlignment="1">
      <alignment horizontal="center" vertical="center" wrapText="1"/>
    </xf>
    <xf numFmtId="0" fontId="0" fillId="10" borderId="21" xfId="0" applyFill="1" applyBorder="1" applyAlignment="1">
      <alignment horizontal="center" vertical="center" wrapText="1"/>
    </xf>
    <xf numFmtId="0" fontId="0" fillId="15" borderId="20" xfId="0" applyFill="1" applyBorder="1" applyAlignment="1">
      <alignment horizontal="center" vertical="center" wrapText="1"/>
    </xf>
    <xf numFmtId="0" fontId="0" fillId="15" borderId="21" xfId="0" applyFill="1" applyBorder="1" applyAlignment="1">
      <alignment horizontal="center" vertical="center" wrapText="1"/>
    </xf>
    <xf numFmtId="0" fontId="0" fillId="19" borderId="20" xfId="0" applyFill="1" applyBorder="1" applyAlignment="1">
      <alignment horizontal="center" vertical="center" wrapText="1"/>
    </xf>
    <xf numFmtId="0" fontId="0" fillId="19" borderId="21" xfId="0" applyFill="1" applyBorder="1" applyAlignment="1">
      <alignment horizontal="center" vertical="center" wrapText="1"/>
    </xf>
    <xf numFmtId="0" fontId="0" fillId="30" borderId="20" xfId="0" applyFill="1" applyBorder="1" applyAlignment="1">
      <alignment horizontal="center" vertical="center" wrapText="1"/>
    </xf>
    <xf numFmtId="0" fontId="0" fillId="30" borderId="21" xfId="0" applyFill="1" applyBorder="1" applyAlignment="1">
      <alignment horizontal="center" vertical="center" wrapText="1"/>
    </xf>
    <xf numFmtId="0" fontId="0" fillId="31" borderId="20" xfId="0" applyFill="1" applyBorder="1" applyAlignment="1">
      <alignment horizontal="center" vertical="center" wrapText="1"/>
    </xf>
    <xf numFmtId="0" fontId="0" fillId="31" borderId="21" xfId="0" applyFill="1" applyBorder="1" applyAlignment="1">
      <alignment horizontal="center" vertical="center" wrapText="1"/>
    </xf>
    <xf numFmtId="0" fontId="0" fillId="14" borderId="20" xfId="0" applyFill="1" applyBorder="1" applyAlignment="1">
      <alignment horizontal="center" vertical="center" wrapText="1"/>
    </xf>
    <xf numFmtId="0" fontId="0" fillId="14" borderId="21" xfId="0" applyFill="1" applyBorder="1" applyAlignment="1">
      <alignment horizontal="center" vertical="center" wrapText="1"/>
    </xf>
    <xf numFmtId="0" fontId="0" fillId="13" borderId="20" xfId="0" applyFill="1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 wrapText="1"/>
    </xf>
    <xf numFmtId="0" fontId="0" fillId="18" borderId="20" xfId="0" applyFill="1" applyBorder="1" applyAlignment="1">
      <alignment horizontal="center" vertical="center" wrapText="1"/>
    </xf>
    <xf numFmtId="0" fontId="0" fillId="18" borderId="21" xfId="0" applyFill="1" applyBorder="1" applyAlignment="1">
      <alignment horizontal="center" vertical="center" wrapText="1"/>
    </xf>
    <xf numFmtId="0" fontId="2" fillId="11" borderId="20" xfId="0" applyNumberFormat="1" applyFont="1" applyFill="1" applyBorder="1" applyAlignment="1">
      <alignment horizontal="center"/>
    </xf>
    <xf numFmtId="0" fontId="2" fillId="11" borderId="21" xfId="0" applyNumberFormat="1" applyFont="1" applyFill="1" applyBorder="1" applyAlignment="1">
      <alignment horizontal="center"/>
    </xf>
    <xf numFmtId="0" fontId="2" fillId="12" borderId="20" xfId="0" applyNumberFormat="1" applyFont="1" applyFill="1" applyBorder="1" applyAlignment="1">
      <alignment horizontal="center"/>
    </xf>
    <xf numFmtId="0" fontId="2" fillId="12" borderId="21" xfId="0" applyNumberFormat="1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0" fontId="2" fillId="16" borderId="20" xfId="0" applyNumberFormat="1" applyFont="1" applyFill="1" applyBorder="1" applyAlignment="1">
      <alignment horizontal="center"/>
    </xf>
    <xf numFmtId="0" fontId="2" fillId="16" borderId="21" xfId="0" applyNumberFormat="1" applyFont="1" applyFill="1" applyBorder="1" applyAlignment="1">
      <alignment horizontal="center"/>
    </xf>
    <xf numFmtId="0" fontId="2" fillId="17" borderId="20" xfId="0" applyNumberFormat="1" applyFont="1" applyFill="1" applyBorder="1" applyAlignment="1">
      <alignment horizontal="center"/>
    </xf>
    <xf numFmtId="0" fontId="2" fillId="17" borderId="21" xfId="0" applyNumberFormat="1" applyFont="1" applyFill="1" applyBorder="1" applyAlignment="1">
      <alignment horizontal="center"/>
    </xf>
    <xf numFmtId="0" fontId="2" fillId="14" borderId="20" xfId="0" applyNumberFormat="1" applyFont="1" applyFill="1" applyBorder="1" applyAlignment="1">
      <alignment horizontal="center"/>
    </xf>
    <xf numFmtId="0" fontId="2" fillId="14" borderId="21" xfId="0" applyNumberFormat="1" applyFont="1" applyFill="1" applyBorder="1" applyAlignment="1">
      <alignment horizontal="center"/>
    </xf>
    <xf numFmtId="0" fontId="2" fillId="13" borderId="20" xfId="0" applyNumberFormat="1" applyFont="1" applyFill="1" applyBorder="1" applyAlignment="1">
      <alignment horizontal="center"/>
    </xf>
    <xf numFmtId="0" fontId="2" fillId="13" borderId="21" xfId="0" applyNumberFormat="1" applyFont="1" applyFill="1" applyBorder="1" applyAlignment="1">
      <alignment horizontal="center"/>
    </xf>
    <xf numFmtId="0" fontId="2" fillId="10" borderId="20" xfId="0" applyNumberFormat="1" applyFont="1" applyFill="1" applyBorder="1" applyAlignment="1">
      <alignment horizontal="center"/>
    </xf>
    <xf numFmtId="0" fontId="2" fillId="10" borderId="21" xfId="0" applyNumberFormat="1" applyFont="1" applyFill="1" applyBorder="1" applyAlignment="1">
      <alignment horizontal="center"/>
    </xf>
    <xf numFmtId="0" fontId="2" fillId="15" borderId="20" xfId="0" applyNumberFormat="1" applyFont="1" applyFill="1" applyBorder="1" applyAlignment="1">
      <alignment horizontal="center"/>
    </xf>
    <xf numFmtId="0" fontId="2" fillId="15" borderId="21" xfId="0" applyNumberFormat="1" applyFont="1" applyFill="1" applyBorder="1" applyAlignment="1">
      <alignment horizontal="center"/>
    </xf>
    <xf numFmtId="0" fontId="2" fillId="21" borderId="20" xfId="0" applyNumberFormat="1" applyFont="1" applyFill="1" applyBorder="1" applyAlignment="1">
      <alignment horizontal="center"/>
    </xf>
    <xf numFmtId="0" fontId="2" fillId="21" borderId="21" xfId="0" applyNumberFormat="1" applyFont="1" applyFill="1" applyBorder="1" applyAlignment="1">
      <alignment horizontal="center"/>
    </xf>
    <xf numFmtId="0" fontId="1" fillId="26" borderId="31" xfId="0" applyFont="1" applyFill="1" applyBorder="1" applyAlignment="1">
      <alignment horizontal="center" vertical="center" wrapText="1"/>
    </xf>
    <xf numFmtId="0" fontId="0" fillId="26" borderId="2" xfId="0" applyFill="1" applyBorder="1" applyAlignment="1">
      <alignment vertical="center" wrapText="1"/>
    </xf>
    <xf numFmtId="0" fontId="0" fillId="26" borderId="3" xfId="0" applyFill="1" applyBorder="1" applyAlignment="1">
      <alignment vertical="center" wrapText="1"/>
    </xf>
    <xf numFmtId="0" fontId="1" fillId="28" borderId="31" xfId="0" applyFont="1" applyFill="1" applyBorder="1" applyAlignment="1">
      <alignment horizontal="center" vertical="center" wrapText="1"/>
    </xf>
    <xf numFmtId="0" fontId="0" fillId="28" borderId="2" xfId="0" applyFill="1" applyBorder="1" applyAlignment="1">
      <alignment vertical="center" wrapText="1"/>
    </xf>
    <xf numFmtId="168" fontId="0" fillId="0" borderId="37" xfId="0" applyNumberFormat="1" applyBorder="1" applyAlignment="1">
      <alignment horizontal="center" vertical="center" wrapText="1"/>
    </xf>
    <xf numFmtId="168" fontId="0" fillId="0" borderId="25" xfId="0" applyNumberFormat="1" applyBorder="1" applyAlignment="1">
      <alignment horizontal="center" vertical="center" wrapText="1"/>
    </xf>
    <xf numFmtId="0" fontId="2" fillId="17" borderId="36" xfId="0" applyNumberFormat="1" applyFont="1" applyFill="1" applyBorder="1" applyAlignment="1">
      <alignment horizontal="center"/>
    </xf>
    <xf numFmtId="0" fontId="1" fillId="29" borderId="10" xfId="0" applyFont="1" applyFill="1" applyBorder="1" applyAlignment="1">
      <alignment horizontal="center" vertical="center" wrapText="1"/>
    </xf>
    <xf numFmtId="0" fontId="1" fillId="29" borderId="51" xfId="0" applyFont="1" applyFill="1" applyBorder="1" applyAlignment="1">
      <alignment horizontal="center" vertical="center" wrapText="1"/>
    </xf>
    <xf numFmtId="0" fontId="2" fillId="17" borderId="20" xfId="0" applyFont="1" applyFill="1" applyBorder="1" applyAlignment="1">
      <alignment horizontal="center" wrapText="1"/>
    </xf>
    <xf numFmtId="0" fontId="2" fillId="17" borderId="36" xfId="0" applyFont="1" applyFill="1" applyBorder="1" applyAlignment="1">
      <alignment horizontal="center" wrapText="1"/>
    </xf>
    <xf numFmtId="0" fontId="2" fillId="17" borderId="21" xfId="0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51" xfId="0" applyBorder="1" applyAlignment="1">
      <alignment vertical="center" wrapText="1"/>
    </xf>
    <xf numFmtId="0" fontId="1" fillId="27" borderId="33" xfId="0" applyFont="1" applyFill="1" applyBorder="1" applyAlignment="1">
      <alignment horizontal="center" vertical="center" wrapText="1"/>
    </xf>
    <xf numFmtId="0" fontId="1" fillId="27" borderId="34" xfId="0" applyFont="1" applyFill="1" applyBorder="1" applyAlignment="1">
      <alignment horizontal="center" vertical="center" wrapText="1"/>
    </xf>
    <xf numFmtId="0" fontId="1" fillId="27" borderId="35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1" fillId="7" borderId="3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1" fillId="9" borderId="31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173" fontId="0" fillId="0" borderId="37" xfId="0" applyNumberFormat="1" applyBorder="1" applyAlignment="1">
      <alignment horizontal="center" vertical="center" wrapText="1"/>
    </xf>
    <xf numFmtId="173" fontId="0" fillId="0" borderId="25" xfId="0" applyNumberFormat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 vertical="center"/>
    </xf>
    <xf numFmtId="0" fontId="1" fillId="6" borderId="35" xfId="0" applyFont="1" applyFill="1" applyBorder="1" applyAlignment="1">
      <alignment horizontal="center" vertical="center"/>
    </xf>
    <xf numFmtId="165" fontId="1" fillId="8" borderId="33" xfId="0" applyNumberFormat="1" applyFont="1" applyFill="1" applyBorder="1" applyAlignment="1">
      <alignment horizontal="center"/>
    </xf>
    <xf numFmtId="165" fontId="1" fillId="8" borderId="34" xfId="0" applyNumberFormat="1" applyFont="1" applyFill="1" applyBorder="1" applyAlignment="1">
      <alignment horizontal="center"/>
    </xf>
    <xf numFmtId="165" fontId="1" fillId="8" borderId="35" xfId="0" applyNumberFormat="1" applyFont="1" applyFill="1" applyBorder="1" applyAlignment="1">
      <alignment horizontal="center"/>
    </xf>
    <xf numFmtId="164" fontId="1" fillId="5" borderId="33" xfId="0" applyNumberFormat="1" applyFont="1" applyFill="1" applyBorder="1" applyAlignment="1">
      <alignment horizontal="center"/>
    </xf>
    <xf numFmtId="164" fontId="1" fillId="5" borderId="34" xfId="0" applyNumberFormat="1" applyFont="1" applyFill="1" applyBorder="1" applyAlignment="1">
      <alignment horizontal="center"/>
    </xf>
    <xf numFmtId="164" fontId="1" fillId="5" borderId="35" xfId="0" applyNumberFormat="1" applyFont="1" applyFill="1" applyBorder="1" applyAlignment="1">
      <alignment horizontal="center"/>
    </xf>
    <xf numFmtId="164" fontId="1" fillId="4" borderId="33" xfId="0" applyNumberFormat="1" applyFont="1" applyFill="1" applyBorder="1" applyAlignment="1">
      <alignment horizontal="center" vertical="center"/>
    </xf>
    <xf numFmtId="164" fontId="1" fillId="4" borderId="34" xfId="0" applyNumberFormat="1" applyFont="1" applyFill="1" applyBorder="1" applyAlignment="1">
      <alignment horizontal="center" vertical="center"/>
    </xf>
    <xf numFmtId="164" fontId="1" fillId="4" borderId="35" xfId="0" applyNumberFormat="1" applyFont="1" applyFill="1" applyBorder="1" applyAlignment="1">
      <alignment horizontal="center" vertical="center"/>
    </xf>
    <xf numFmtId="166" fontId="1" fillId="7" borderId="33" xfId="0" applyNumberFormat="1" applyFont="1" applyFill="1" applyBorder="1" applyAlignment="1">
      <alignment horizontal="center"/>
    </xf>
    <xf numFmtId="166" fontId="1" fillId="7" borderId="34" xfId="0" applyNumberFormat="1" applyFont="1" applyFill="1" applyBorder="1" applyAlignment="1">
      <alignment horizontal="center"/>
    </xf>
    <xf numFmtId="166" fontId="1" fillId="7" borderId="35" xfId="0" applyNumberFormat="1" applyFont="1" applyFill="1" applyBorder="1" applyAlignment="1">
      <alignment horizontal="center"/>
    </xf>
    <xf numFmtId="165" fontId="1" fillId="25" borderId="2" xfId="0" applyNumberFormat="1" applyFont="1" applyFill="1" applyBorder="1" applyAlignment="1">
      <alignment horizontal="center"/>
    </xf>
    <xf numFmtId="165" fontId="1" fillId="25" borderId="3" xfId="0" applyNumberFormat="1" applyFont="1" applyFill="1" applyBorder="1" applyAlignment="1">
      <alignment horizontal="center"/>
    </xf>
    <xf numFmtId="167" fontId="1" fillId="24" borderId="33" xfId="0" applyNumberFormat="1" applyFont="1" applyFill="1" applyBorder="1" applyAlignment="1">
      <alignment horizontal="center"/>
    </xf>
    <xf numFmtId="167" fontId="1" fillId="24" borderId="34" xfId="0" applyNumberFormat="1" applyFont="1" applyFill="1" applyBorder="1" applyAlignment="1">
      <alignment horizontal="center"/>
    </xf>
    <xf numFmtId="167" fontId="1" fillId="24" borderId="35" xfId="0" applyNumberFormat="1" applyFont="1" applyFill="1" applyBorder="1" applyAlignment="1">
      <alignment horizontal="center"/>
    </xf>
    <xf numFmtId="167" fontId="1" fillId="32" borderId="33" xfId="0" applyNumberFormat="1" applyFont="1" applyFill="1" applyBorder="1" applyAlignment="1">
      <alignment horizontal="center"/>
    </xf>
    <xf numFmtId="167" fontId="1" fillId="32" borderId="34" xfId="0" applyNumberFormat="1" applyFont="1" applyFill="1" applyBorder="1" applyAlignment="1">
      <alignment horizontal="center"/>
    </xf>
    <xf numFmtId="167" fontId="1" fillId="32" borderId="35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164" fontId="1" fillId="13" borderId="33" xfId="0" applyNumberFormat="1" applyFont="1" applyFill="1" applyBorder="1" applyAlignment="1">
      <alignment horizontal="center"/>
    </xf>
    <xf numFmtId="164" fontId="1" fillId="13" borderId="34" xfId="0" applyNumberFormat="1" applyFont="1" applyFill="1" applyBorder="1" applyAlignment="1">
      <alignment horizontal="center"/>
    </xf>
    <xf numFmtId="164" fontId="1" fillId="13" borderId="35" xfId="0" applyNumberFormat="1" applyFont="1" applyFill="1" applyBorder="1" applyAlignment="1">
      <alignment horizontal="center"/>
    </xf>
    <xf numFmtId="164" fontId="1" fillId="11" borderId="33" xfId="0" applyNumberFormat="1" applyFont="1" applyFill="1" applyBorder="1" applyAlignment="1">
      <alignment horizontal="center" vertical="center"/>
    </xf>
    <xf numFmtId="164" fontId="1" fillId="11" borderId="34" xfId="0" applyNumberFormat="1" applyFont="1" applyFill="1" applyBorder="1" applyAlignment="1">
      <alignment horizontal="center" vertical="center"/>
    </xf>
    <xf numFmtId="164" fontId="1" fillId="11" borderId="3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61"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numFmt numFmtId="175" formatCode="&quot; &quot;"/>
    </dxf>
    <dxf>
      <numFmt numFmtId="175" formatCode="&quot; &quot;"/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800000"/>
        </patternFill>
      </fill>
    </dxf>
    <dxf>
      <fill>
        <patternFill>
          <bgColor rgb="FFD60093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theme="1" tint="0.499984740745262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 patternType="solid">
          <fgColor rgb="FFFFFFFF"/>
          <bgColor rgb="FF000000"/>
        </patternFill>
      </fill>
    </dxf>
  </dxfs>
  <tableStyles count="0" defaultTableStyle="TableStyleMedium9" defaultPivotStyle="PivotStyleLight16"/>
  <colors>
    <mruColors>
      <color rgb="FFA50021"/>
      <color rgb="FFF4FD7F"/>
      <color rgb="FFFFFF66"/>
      <color rgb="FFFF0000"/>
      <color rgb="FFCCFF66"/>
      <color rgb="FFFF6699"/>
      <color rgb="FFCCFF33"/>
      <color rgb="FFCCFD66"/>
      <color rgb="FF80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AC370"/>
  <sheetViews>
    <sheetView tabSelected="1" zoomScale="85" zoomScaleNormal="85" workbookViewId="0">
      <pane xSplit="1" ySplit="2" topLeftCell="B336" activePane="bottomRight" state="frozen"/>
      <selection activeCell="K52" sqref="K52"/>
      <selection pane="topRight" activeCell="K52" sqref="K52"/>
      <selection pane="bottomLeft" activeCell="K52" sqref="K52"/>
      <selection pane="bottomRight" activeCell="G368" sqref="G368"/>
    </sheetView>
  </sheetViews>
  <sheetFormatPr defaultRowHeight="14.4" x14ac:dyDescent="0.3"/>
  <cols>
    <col min="1" max="1" width="10.88671875" customWidth="1"/>
    <col min="2" max="2" width="7.33203125" style="120" customWidth="1"/>
    <col min="3" max="8" width="7.33203125" style="118" customWidth="1"/>
    <col min="9" max="9" width="7.33203125" style="121" customWidth="1"/>
    <col min="10" max="11" width="7.33203125" style="118" customWidth="1"/>
    <col min="12" max="12" width="7.33203125" style="121" customWidth="1"/>
    <col min="13" max="13" width="7.33203125" style="120" customWidth="1"/>
    <col min="14" max="14" width="7.33203125" style="118" customWidth="1"/>
    <col min="15" max="15" width="7.33203125" style="121" customWidth="1"/>
    <col min="16" max="16" width="11.109375" style="120" customWidth="1"/>
    <col min="17" max="17" width="11.109375" style="118" customWidth="1"/>
    <col min="18" max="18" width="11.109375" style="121" customWidth="1"/>
    <col min="19" max="19" width="8.44140625" style="120" customWidth="1"/>
    <col min="20" max="21" width="8.44140625" style="118" customWidth="1"/>
    <col min="22" max="22" width="5.6640625" style="121" customWidth="1"/>
    <col min="23" max="23" width="7.109375" style="120" customWidth="1"/>
    <col min="24" max="24" width="11.44140625" style="118" customWidth="1"/>
    <col min="25" max="25" width="10" style="118" customWidth="1"/>
    <col min="26" max="26" width="8.44140625" style="118" customWidth="1"/>
    <col min="27" max="27" width="8.6640625" style="121" customWidth="1"/>
    <col min="28" max="28" width="28.44140625" style="331" customWidth="1"/>
    <col min="29" max="29" width="11.44140625" style="55" customWidth="1"/>
  </cols>
  <sheetData>
    <row r="1" spans="1:29" s="15" customFormat="1" ht="16.5" customHeight="1" thickBot="1" x14ac:dyDescent="0.35">
      <c r="A1" s="210" t="s">
        <v>0</v>
      </c>
      <c r="B1" s="437" t="s">
        <v>2</v>
      </c>
      <c r="C1" s="438"/>
      <c r="D1" s="438"/>
      <c r="E1" s="438"/>
      <c r="F1" s="438"/>
      <c r="G1" s="438"/>
      <c r="H1" s="438"/>
      <c r="I1" s="439"/>
      <c r="J1" s="452" t="s">
        <v>5</v>
      </c>
      <c r="K1" s="453"/>
      <c r="L1" s="454"/>
      <c r="M1" s="446" t="s">
        <v>35</v>
      </c>
      <c r="N1" s="447"/>
      <c r="O1" s="448"/>
      <c r="P1" s="449" t="s">
        <v>7</v>
      </c>
      <c r="Q1" s="450"/>
      <c r="R1" s="451"/>
      <c r="S1" s="443" t="s">
        <v>10</v>
      </c>
      <c r="T1" s="444"/>
      <c r="U1" s="444"/>
      <c r="V1" s="445"/>
      <c r="W1" s="440" t="s">
        <v>14</v>
      </c>
      <c r="X1" s="441"/>
      <c r="Y1" s="441"/>
      <c r="Z1" s="441"/>
      <c r="AA1" s="442"/>
      <c r="AB1" s="324" t="s">
        <v>19</v>
      </c>
      <c r="AC1" s="31"/>
    </row>
    <row r="2" spans="1:29" s="15" customFormat="1" ht="28.8" x14ac:dyDescent="0.3">
      <c r="A2" s="112"/>
      <c r="B2" s="211" t="s">
        <v>95</v>
      </c>
      <c r="C2" s="212" t="s">
        <v>94</v>
      </c>
      <c r="D2" s="212" t="s">
        <v>93</v>
      </c>
      <c r="E2" s="213" t="s">
        <v>3</v>
      </c>
      <c r="F2" s="213" t="s">
        <v>4</v>
      </c>
      <c r="G2" s="213" t="s">
        <v>202</v>
      </c>
      <c r="H2" s="212" t="s">
        <v>6</v>
      </c>
      <c r="I2" s="214" t="s">
        <v>90</v>
      </c>
      <c r="J2" s="213" t="s">
        <v>20</v>
      </c>
      <c r="K2" s="213" t="s">
        <v>21</v>
      </c>
      <c r="L2" s="214" t="s">
        <v>86</v>
      </c>
      <c r="M2" s="211" t="s">
        <v>40</v>
      </c>
      <c r="N2" s="212" t="s">
        <v>39</v>
      </c>
      <c r="O2" s="214" t="s">
        <v>85</v>
      </c>
      <c r="P2" s="215" t="s">
        <v>8</v>
      </c>
      <c r="Q2" s="213" t="s">
        <v>9</v>
      </c>
      <c r="R2" s="214" t="s">
        <v>84</v>
      </c>
      <c r="S2" s="216" t="s">
        <v>11</v>
      </c>
      <c r="T2" s="217" t="s">
        <v>44</v>
      </c>
      <c r="U2" s="218" t="s">
        <v>41</v>
      </c>
      <c r="V2" s="219" t="s">
        <v>13</v>
      </c>
      <c r="W2" s="216" t="s">
        <v>15</v>
      </c>
      <c r="X2" s="218" t="s">
        <v>16</v>
      </c>
      <c r="Y2" s="220" t="s">
        <v>17</v>
      </c>
      <c r="Z2" s="218" t="s">
        <v>91</v>
      </c>
      <c r="AA2" s="219" t="s">
        <v>18</v>
      </c>
      <c r="AB2" s="325"/>
      <c r="AC2" s="113"/>
    </row>
    <row r="3" spans="1:29" s="37" customFormat="1" x14ac:dyDescent="0.3">
      <c r="A3" s="42">
        <v>43466</v>
      </c>
      <c r="B3" s="79">
        <v>-2</v>
      </c>
      <c r="C3" s="32">
        <v>4.3</v>
      </c>
      <c r="D3" s="32">
        <v>1.2</v>
      </c>
      <c r="E3" s="32">
        <v>4.5</v>
      </c>
      <c r="F3" s="32">
        <v>-2.8</v>
      </c>
      <c r="G3" s="32">
        <f t="shared" ref="G3:G211" si="0">E3-F3</f>
        <v>7.3</v>
      </c>
      <c r="H3" s="32">
        <f>(B3+C3+2*D3)/4</f>
        <v>1.1749999999999998</v>
      </c>
      <c r="I3" s="87">
        <v>1</v>
      </c>
      <c r="J3" s="32">
        <v>-0.313009791582611</v>
      </c>
      <c r="K3" s="32">
        <v>-5.5986401833284001</v>
      </c>
      <c r="L3" s="87">
        <v>-2.8825805849003836</v>
      </c>
      <c r="M3" s="119">
        <v>84</v>
      </c>
      <c r="N3" s="33">
        <v>59</v>
      </c>
      <c r="O3" s="114">
        <v>76.035652496292641</v>
      </c>
      <c r="P3" s="124">
        <v>1029.9939230227201</v>
      </c>
      <c r="Q3" s="34">
        <v>1009.99468808262</v>
      </c>
      <c r="R3" s="74">
        <v>1020.5488242596329</v>
      </c>
      <c r="S3" s="116">
        <v>10.5</v>
      </c>
      <c r="T3" s="35">
        <v>6.0544943823840267</v>
      </c>
      <c r="U3" s="35">
        <v>1.5</v>
      </c>
      <c r="V3" s="221" t="s">
        <v>226</v>
      </c>
      <c r="W3" s="222" t="s">
        <v>200</v>
      </c>
      <c r="X3" s="109">
        <v>1.2</v>
      </c>
      <c r="Y3" s="110">
        <v>5</v>
      </c>
      <c r="Z3" s="111">
        <v>3</v>
      </c>
      <c r="AA3" s="117">
        <v>3</v>
      </c>
      <c r="AB3" s="326" t="s">
        <v>207</v>
      </c>
      <c r="AC3" s="36"/>
    </row>
    <row r="4" spans="1:29" s="20" customFormat="1" x14ac:dyDescent="0.3">
      <c r="A4" s="42">
        <v>43467</v>
      </c>
      <c r="B4" s="43">
        <v>-1.4</v>
      </c>
      <c r="C4" s="14">
        <v>2.1</v>
      </c>
      <c r="D4" s="14">
        <v>-0.5</v>
      </c>
      <c r="E4" s="14">
        <v>3.3</v>
      </c>
      <c r="F4" s="14">
        <v>-1.7</v>
      </c>
      <c r="G4" s="32">
        <f t="shared" si="0"/>
        <v>5</v>
      </c>
      <c r="H4" s="32">
        <f t="shared" ref="H4:H209" si="1">(B4+C4+2*D4)/4</f>
        <v>-7.4999999999999956E-2</v>
      </c>
      <c r="I4" s="82">
        <v>0.4</v>
      </c>
      <c r="J4" s="14">
        <v>0.229228479067657</v>
      </c>
      <c r="K4" s="14">
        <v>-5.8658807835114999</v>
      </c>
      <c r="L4" s="82">
        <v>-2.7321997835397545</v>
      </c>
      <c r="M4" s="88">
        <v>85</v>
      </c>
      <c r="N4" s="24">
        <v>69.857142857142904</v>
      </c>
      <c r="O4" s="84">
        <v>79.64186507936509</v>
      </c>
      <c r="P4" s="122">
        <v>1017.50755067852</v>
      </c>
      <c r="Q4" s="21">
        <v>1007.58506366898</v>
      </c>
      <c r="R4" s="70">
        <v>1011.6135544978455</v>
      </c>
      <c r="S4" s="75">
        <v>8.8000000000000007</v>
      </c>
      <c r="T4" s="65">
        <v>4.4428792282470004</v>
      </c>
      <c r="U4" s="25">
        <v>1.7</v>
      </c>
      <c r="V4" s="223" t="s">
        <v>227</v>
      </c>
      <c r="W4" s="224" t="s">
        <v>206</v>
      </c>
      <c r="X4" s="16">
        <v>1.2</v>
      </c>
      <c r="Y4" s="17">
        <v>0.5</v>
      </c>
      <c r="Z4" s="18">
        <v>0.5</v>
      </c>
      <c r="AA4" s="46">
        <v>3</v>
      </c>
      <c r="AB4" s="327" t="s">
        <v>208</v>
      </c>
      <c r="AC4" s="29"/>
    </row>
    <row r="5" spans="1:29" s="20" customFormat="1" x14ac:dyDescent="0.3">
      <c r="A5" s="42">
        <v>43468</v>
      </c>
      <c r="B5" s="43">
        <v>-2.4</v>
      </c>
      <c r="C5" s="14">
        <v>-1.5</v>
      </c>
      <c r="D5" s="14">
        <v>-3.1</v>
      </c>
      <c r="E5" s="14">
        <v>0</v>
      </c>
      <c r="F5" s="14">
        <v>-3.5</v>
      </c>
      <c r="G5" s="32">
        <f t="shared" si="0"/>
        <v>3.5</v>
      </c>
      <c r="H5" s="32">
        <f t="shared" si="1"/>
        <v>-2.5249999999999999</v>
      </c>
      <c r="I5" s="82">
        <v>-2.2000000000000002</v>
      </c>
      <c r="J5" s="14">
        <v>-5.7597989605998299</v>
      </c>
      <c r="K5" s="14">
        <v>-10.132070045828501</v>
      </c>
      <c r="L5" s="82">
        <v>-7.8496474178118767</v>
      </c>
      <c r="M5" s="88">
        <v>74</v>
      </c>
      <c r="N5" s="24">
        <v>52</v>
      </c>
      <c r="O5" s="84">
        <v>65.922743055555571</v>
      </c>
      <c r="P5" s="122">
        <v>1024.53029487193</v>
      </c>
      <c r="Q5" s="21">
        <v>1017.51665704149</v>
      </c>
      <c r="R5" s="70">
        <v>1020.9564755114033</v>
      </c>
      <c r="S5" s="75">
        <v>10.9</v>
      </c>
      <c r="T5" s="65">
        <v>5.8071717243807219</v>
      </c>
      <c r="U5" s="25">
        <v>2.8</v>
      </c>
      <c r="V5" s="223" t="s">
        <v>227</v>
      </c>
      <c r="W5" s="224" t="s">
        <v>206</v>
      </c>
      <c r="X5" s="16">
        <v>1.2</v>
      </c>
      <c r="Y5" s="17">
        <v>2</v>
      </c>
      <c r="Z5" s="18">
        <v>4.5</v>
      </c>
      <c r="AA5" s="46">
        <v>3.5</v>
      </c>
      <c r="AB5" s="327" t="s">
        <v>209</v>
      </c>
      <c r="AC5" s="29"/>
    </row>
    <row r="6" spans="1:29" s="20" customFormat="1" x14ac:dyDescent="0.3">
      <c r="A6" s="42">
        <v>43469</v>
      </c>
      <c r="B6" s="43">
        <v>-4</v>
      </c>
      <c r="C6" s="14">
        <v>-1</v>
      </c>
      <c r="D6" s="14">
        <v>-6.5</v>
      </c>
      <c r="E6" s="14">
        <v>-0.9</v>
      </c>
      <c r="F6" s="14">
        <v>-7.2</v>
      </c>
      <c r="G6" s="32">
        <f t="shared" si="0"/>
        <v>6.3</v>
      </c>
      <c r="H6" s="32">
        <f t="shared" si="1"/>
        <v>-4.5</v>
      </c>
      <c r="I6" s="82">
        <v>-4.0999999999999996</v>
      </c>
      <c r="J6" s="14">
        <v>-7.5721647589136198</v>
      </c>
      <c r="K6" s="14">
        <v>-13.2252805146755</v>
      </c>
      <c r="L6" s="82">
        <v>-9.9383825516971633</v>
      </c>
      <c r="M6" s="88">
        <v>75</v>
      </c>
      <c r="N6" s="24">
        <v>52</v>
      </c>
      <c r="O6" s="84">
        <v>64.20796130952381</v>
      </c>
      <c r="P6" s="122">
        <v>1028.0270294573099</v>
      </c>
      <c r="Q6" s="21">
        <v>1022.18272241386</v>
      </c>
      <c r="R6" s="70">
        <v>1025.7265522241044</v>
      </c>
      <c r="S6" s="76">
        <v>7.5</v>
      </c>
      <c r="T6" s="66">
        <v>3.9785912060025419</v>
      </c>
      <c r="U6" s="19">
        <v>1.4</v>
      </c>
      <c r="V6" s="223" t="s">
        <v>227</v>
      </c>
      <c r="W6" s="225" t="s">
        <v>206</v>
      </c>
      <c r="X6" s="16">
        <v>1.2</v>
      </c>
      <c r="Y6" s="17">
        <v>0.5</v>
      </c>
      <c r="Z6" s="18">
        <v>0.5</v>
      </c>
      <c r="AA6" s="46">
        <v>6.5</v>
      </c>
      <c r="AB6" s="327" t="s">
        <v>210</v>
      </c>
      <c r="AC6" s="29"/>
    </row>
    <row r="7" spans="1:29" s="20" customFormat="1" x14ac:dyDescent="0.3">
      <c r="A7" s="42">
        <v>43470</v>
      </c>
      <c r="B7" s="43">
        <v>-4.9000000000000004</v>
      </c>
      <c r="C7" s="14">
        <v>-3.3</v>
      </c>
      <c r="D7" s="14">
        <v>-4</v>
      </c>
      <c r="E7" s="14">
        <v>-3.1</v>
      </c>
      <c r="F7" s="14">
        <v>-5.4</v>
      </c>
      <c r="G7" s="32">
        <f t="shared" si="0"/>
        <v>2.3000000000000003</v>
      </c>
      <c r="H7" s="32">
        <f t="shared" si="1"/>
        <v>-4.05</v>
      </c>
      <c r="I7" s="82">
        <v>-4.3</v>
      </c>
      <c r="J7" s="14">
        <v>-6.83404801147912</v>
      </c>
      <c r="K7" s="14">
        <v>-10.1226816560741</v>
      </c>
      <c r="L7" s="82">
        <v>-8.2894962356085227</v>
      </c>
      <c r="M7" s="88">
        <v>80</v>
      </c>
      <c r="N7" s="24">
        <v>68</v>
      </c>
      <c r="O7" s="84">
        <v>73.220734126984112</v>
      </c>
      <c r="P7" s="122">
        <v>1022.21368354454</v>
      </c>
      <c r="Q7" s="21">
        <v>1012.72848366127</v>
      </c>
      <c r="R7" s="70">
        <v>1015.6087685280153</v>
      </c>
      <c r="S7" s="75">
        <v>7.1</v>
      </c>
      <c r="T7" s="65">
        <v>3.8348404914229999</v>
      </c>
      <c r="U7" s="25">
        <v>1.2</v>
      </c>
      <c r="V7" s="223" t="s">
        <v>228</v>
      </c>
      <c r="W7" s="225" t="s">
        <v>206</v>
      </c>
      <c r="X7" s="16">
        <v>1.2</v>
      </c>
      <c r="Y7" s="17">
        <v>7.5</v>
      </c>
      <c r="Z7" s="18">
        <v>5.5</v>
      </c>
      <c r="AA7" s="46">
        <v>12</v>
      </c>
      <c r="AB7" s="327" t="s">
        <v>212</v>
      </c>
      <c r="AC7" s="29"/>
    </row>
    <row r="8" spans="1:29" s="20" customFormat="1" x14ac:dyDescent="0.3">
      <c r="A8" s="42">
        <v>43471</v>
      </c>
      <c r="B8" s="43">
        <v>-1.6</v>
      </c>
      <c r="C8" s="14">
        <v>-3.9</v>
      </c>
      <c r="D8" s="14">
        <v>-5.4</v>
      </c>
      <c r="E8" s="14">
        <v>-1.5</v>
      </c>
      <c r="F8" s="14">
        <v>-5.6</v>
      </c>
      <c r="G8" s="32">
        <f t="shared" si="0"/>
        <v>4.0999999999999996</v>
      </c>
      <c r="H8" s="32">
        <f t="shared" si="1"/>
        <v>-4.0750000000000002</v>
      </c>
      <c r="I8" s="82">
        <v>-3.7</v>
      </c>
      <c r="J8" s="14">
        <v>-4.2643714244838504</v>
      </c>
      <c r="K8" s="14">
        <v>-13.0016922360896</v>
      </c>
      <c r="L8" s="82">
        <v>-8.9826445298304698</v>
      </c>
      <c r="M8" s="88">
        <v>82</v>
      </c>
      <c r="N8" s="24">
        <v>55</v>
      </c>
      <c r="O8" s="84">
        <v>67.511904761904759</v>
      </c>
      <c r="P8" s="122">
        <v>1026.4535044376601</v>
      </c>
      <c r="Q8" s="21">
        <v>1013.83583600998</v>
      </c>
      <c r="R8" s="70">
        <v>1019.6075834646708</v>
      </c>
      <c r="S8" s="75">
        <v>10.199999999999999</v>
      </c>
      <c r="T8" s="65">
        <v>6.3643173510740834</v>
      </c>
      <c r="U8" s="25">
        <v>2.7</v>
      </c>
      <c r="V8" s="223" t="s">
        <v>229</v>
      </c>
      <c r="W8" s="225" t="s">
        <v>206</v>
      </c>
      <c r="X8" s="16">
        <v>1.2</v>
      </c>
      <c r="Y8" s="17">
        <v>0.4</v>
      </c>
      <c r="Z8" s="18">
        <v>4</v>
      </c>
      <c r="AA8" s="46">
        <v>16</v>
      </c>
      <c r="AB8" s="327" t="s">
        <v>213</v>
      </c>
      <c r="AC8" s="29"/>
    </row>
    <row r="9" spans="1:29" s="20" customFormat="1" x14ac:dyDescent="0.3">
      <c r="A9" s="42">
        <v>43472</v>
      </c>
      <c r="B9" s="43">
        <v>-5.3</v>
      </c>
      <c r="C9" s="14">
        <v>-3.2</v>
      </c>
      <c r="D9" s="14">
        <v>-5.9</v>
      </c>
      <c r="E9" s="14">
        <v>-1.9</v>
      </c>
      <c r="F9" s="14">
        <v>-10.3</v>
      </c>
      <c r="G9" s="32">
        <f t="shared" si="0"/>
        <v>8.4</v>
      </c>
      <c r="H9" s="32">
        <f t="shared" si="1"/>
        <v>-5.0750000000000002</v>
      </c>
      <c r="I9" s="82">
        <v>-5.0999999999999996</v>
      </c>
      <c r="J9" s="14">
        <v>-8.80821355855152</v>
      </c>
      <c r="K9" s="14">
        <v>-17.6078530128196</v>
      </c>
      <c r="L9" s="82">
        <v>-11.417907293867543</v>
      </c>
      <c r="M9" s="88">
        <v>66</v>
      </c>
      <c r="N9" s="24">
        <v>54.375</v>
      </c>
      <c r="O9" s="84">
        <v>62.249567474048455</v>
      </c>
      <c r="P9" s="122">
        <v>1030.11047923765</v>
      </c>
      <c r="Q9" s="21">
        <v>1024.9819589470701</v>
      </c>
      <c r="R9" s="70">
        <v>1028.2883955398038</v>
      </c>
      <c r="S9" s="75">
        <v>6.1</v>
      </c>
      <c r="T9" s="65">
        <v>3.9428767427529579</v>
      </c>
      <c r="U9" s="25">
        <v>1.6</v>
      </c>
      <c r="V9" s="223" t="s">
        <v>227</v>
      </c>
      <c r="W9" s="225" t="s">
        <v>211</v>
      </c>
      <c r="X9" s="16">
        <v>0</v>
      </c>
      <c r="Y9" s="17">
        <v>0</v>
      </c>
      <c r="Z9" s="18">
        <v>0</v>
      </c>
      <c r="AA9" s="46">
        <v>14</v>
      </c>
      <c r="AB9" s="327" t="s">
        <v>214</v>
      </c>
      <c r="AC9" s="29"/>
    </row>
    <row r="10" spans="1:29" s="20" customFormat="1" x14ac:dyDescent="0.3">
      <c r="A10" s="42">
        <v>43473</v>
      </c>
      <c r="B10" s="43">
        <v>-10.6</v>
      </c>
      <c r="C10" s="14">
        <v>-7.1</v>
      </c>
      <c r="D10" s="14">
        <v>-6.5</v>
      </c>
      <c r="E10" s="14">
        <v>-6.2</v>
      </c>
      <c r="F10" s="14">
        <v>-14.6</v>
      </c>
      <c r="G10" s="32">
        <f t="shared" si="0"/>
        <v>8.3999999999999986</v>
      </c>
      <c r="H10" s="32">
        <f t="shared" si="1"/>
        <v>-7.6749999999999998</v>
      </c>
      <c r="I10" s="82">
        <v>-8.9</v>
      </c>
      <c r="J10" s="14">
        <v>-10.603445389203699</v>
      </c>
      <c r="K10" s="14">
        <v>-20.064900961519999</v>
      </c>
      <c r="L10" s="82">
        <v>-13.574867050522791</v>
      </c>
      <c r="M10" s="88">
        <v>72</v>
      </c>
      <c r="N10" s="24">
        <v>63</v>
      </c>
      <c r="O10" s="84">
        <v>67.920448908730179</v>
      </c>
      <c r="P10" s="122">
        <v>1024.96738915014</v>
      </c>
      <c r="Q10" s="21">
        <v>1005.93856555901</v>
      </c>
      <c r="R10" s="70">
        <v>1014.6440197129897</v>
      </c>
      <c r="S10" s="75">
        <v>11.9</v>
      </c>
      <c r="T10" s="65">
        <v>7.4928943897606253</v>
      </c>
      <c r="U10" s="25">
        <v>3.3</v>
      </c>
      <c r="V10" s="223" t="s">
        <v>226</v>
      </c>
      <c r="W10" s="225" t="s">
        <v>206</v>
      </c>
      <c r="X10" s="16">
        <v>1.2</v>
      </c>
      <c r="Y10" s="17">
        <v>3</v>
      </c>
      <c r="Z10" s="18">
        <v>3.5</v>
      </c>
      <c r="AA10" s="46">
        <v>14</v>
      </c>
      <c r="AB10" s="327" t="s">
        <v>213</v>
      </c>
      <c r="AC10" s="29"/>
    </row>
    <row r="11" spans="1:29" s="20" customFormat="1" x14ac:dyDescent="0.3">
      <c r="A11" s="42">
        <v>43474</v>
      </c>
      <c r="B11" s="43">
        <v>-6.4</v>
      </c>
      <c r="C11" s="14">
        <v>-4</v>
      </c>
      <c r="D11" s="14">
        <v>-5.0999999999999996</v>
      </c>
      <c r="E11" s="14">
        <v>-3.9</v>
      </c>
      <c r="F11" s="14">
        <v>-6.6</v>
      </c>
      <c r="G11" s="32">
        <f t="shared" si="0"/>
        <v>2.6999999999999997</v>
      </c>
      <c r="H11" s="32">
        <f t="shared" si="1"/>
        <v>-5.15</v>
      </c>
      <c r="I11" s="82">
        <v>-5.3</v>
      </c>
      <c r="J11" s="14">
        <v>-7.8736088538767</v>
      </c>
      <c r="K11" s="14">
        <v>-11.504075416170201</v>
      </c>
      <c r="L11" s="82">
        <v>-9.4978811005435002</v>
      </c>
      <c r="M11" s="88">
        <v>79</v>
      </c>
      <c r="N11" s="24">
        <v>67</v>
      </c>
      <c r="O11" s="84">
        <v>72.159913793103442</v>
      </c>
      <c r="P11" s="122">
        <v>1008.81360711089</v>
      </c>
      <c r="Q11" s="21">
        <v>1004.46144412605</v>
      </c>
      <c r="R11" s="70">
        <v>1006.0821433085886</v>
      </c>
      <c r="S11" s="75">
        <v>9.1999999999999993</v>
      </c>
      <c r="T11" s="65">
        <v>5.0143106402401809</v>
      </c>
      <c r="U11" s="25">
        <v>1.7</v>
      </c>
      <c r="V11" s="223" t="s">
        <v>230</v>
      </c>
      <c r="W11" s="225" t="s">
        <v>206</v>
      </c>
      <c r="X11" s="16">
        <v>1.2</v>
      </c>
      <c r="Y11" s="17">
        <v>1</v>
      </c>
      <c r="Z11" s="18">
        <v>1</v>
      </c>
      <c r="AA11" s="46">
        <v>14</v>
      </c>
      <c r="AB11" s="327" t="s">
        <v>212</v>
      </c>
      <c r="AC11" s="29"/>
    </row>
    <row r="12" spans="1:29" s="20" customFormat="1" x14ac:dyDescent="0.3">
      <c r="A12" s="42">
        <v>43475</v>
      </c>
      <c r="B12" s="43">
        <v>-5.9</v>
      </c>
      <c r="C12" s="14">
        <v>0.1</v>
      </c>
      <c r="D12" s="14">
        <v>-3.1</v>
      </c>
      <c r="E12" s="14">
        <v>1</v>
      </c>
      <c r="F12" s="14">
        <v>-5.9</v>
      </c>
      <c r="G12" s="32">
        <f t="shared" si="0"/>
        <v>6.9</v>
      </c>
      <c r="H12" s="32">
        <f t="shared" si="1"/>
        <v>-3</v>
      </c>
      <c r="I12" s="82">
        <v>-3.2</v>
      </c>
      <c r="J12" s="14">
        <v>-4.7138552566963998</v>
      </c>
      <c r="K12" s="14">
        <v>-10.138761012611701</v>
      </c>
      <c r="L12" s="82">
        <v>-7.8743721762786283</v>
      </c>
      <c r="M12" s="88">
        <v>79</v>
      </c>
      <c r="N12" s="24">
        <v>63</v>
      </c>
      <c r="O12" s="84">
        <v>69.985057043650798</v>
      </c>
      <c r="P12" s="122">
        <v>1016.64344160914</v>
      </c>
      <c r="Q12" s="21">
        <v>1008.580746285</v>
      </c>
      <c r="R12" s="70">
        <v>1012.8655672549111</v>
      </c>
      <c r="S12" s="75">
        <v>8.5</v>
      </c>
      <c r="T12" s="65">
        <v>5.5285989110340417</v>
      </c>
      <c r="U12" s="25">
        <v>1.4</v>
      </c>
      <c r="V12" s="223" t="s">
        <v>227</v>
      </c>
      <c r="W12" s="225" t="s">
        <v>211</v>
      </c>
      <c r="X12" s="16">
        <v>0</v>
      </c>
      <c r="Y12" s="17">
        <v>0</v>
      </c>
      <c r="Z12" s="18">
        <v>0</v>
      </c>
      <c r="AA12" s="46">
        <v>12.5</v>
      </c>
      <c r="AB12" s="327" t="s">
        <v>212</v>
      </c>
      <c r="AC12" s="29"/>
    </row>
    <row r="13" spans="1:29" s="20" customFormat="1" x14ac:dyDescent="0.3">
      <c r="A13" s="42">
        <v>43476</v>
      </c>
      <c r="B13" s="43">
        <v>-5.6</v>
      </c>
      <c r="C13" s="14">
        <v>-3.7</v>
      </c>
      <c r="D13" s="14">
        <v>-13.4</v>
      </c>
      <c r="E13" s="14">
        <v>-3.3</v>
      </c>
      <c r="F13" s="14">
        <v>-13.8</v>
      </c>
      <c r="G13" s="32">
        <f t="shared" si="0"/>
        <v>10.5</v>
      </c>
      <c r="H13" s="32">
        <f t="shared" si="1"/>
        <v>-9.0250000000000004</v>
      </c>
      <c r="I13" s="82">
        <v>-7.1</v>
      </c>
      <c r="J13" s="14">
        <v>-10.179450848344199</v>
      </c>
      <c r="K13" s="14">
        <v>-19.3036802851354</v>
      </c>
      <c r="L13" s="82">
        <v>-13.456007327711076</v>
      </c>
      <c r="M13" s="88">
        <v>69</v>
      </c>
      <c r="N13" s="24">
        <v>55</v>
      </c>
      <c r="O13" s="84">
        <v>61.792658730158713</v>
      </c>
      <c r="P13" s="122">
        <v>1018.88465596708</v>
      </c>
      <c r="Q13" s="21">
        <v>1013.31069438779</v>
      </c>
      <c r="R13" s="70">
        <v>1016.849402691466</v>
      </c>
      <c r="S13" s="75">
        <v>6.5</v>
      </c>
      <c r="T13" s="65">
        <v>4.1428777369505694</v>
      </c>
      <c r="U13" s="25">
        <v>1.9</v>
      </c>
      <c r="V13" s="223" t="s">
        <v>229</v>
      </c>
      <c r="W13" s="225" t="s">
        <v>211</v>
      </c>
      <c r="X13" s="16">
        <v>0</v>
      </c>
      <c r="Y13" s="17">
        <v>0</v>
      </c>
      <c r="Z13" s="18">
        <v>0</v>
      </c>
      <c r="AA13" s="46">
        <v>12</v>
      </c>
      <c r="AB13" s="327" t="s">
        <v>215</v>
      </c>
      <c r="AC13" s="29"/>
    </row>
    <row r="14" spans="1:29" s="20" customFormat="1" x14ac:dyDescent="0.3">
      <c r="A14" s="42">
        <v>43477</v>
      </c>
      <c r="B14" s="43">
        <v>-7.2</v>
      </c>
      <c r="C14" s="14">
        <v>-2.8</v>
      </c>
      <c r="D14" s="14">
        <v>-5</v>
      </c>
      <c r="E14" s="14">
        <v>-2.2999999999999998</v>
      </c>
      <c r="F14" s="14">
        <v>-12.2</v>
      </c>
      <c r="G14" s="32">
        <f t="shared" si="0"/>
        <v>9.8999999999999986</v>
      </c>
      <c r="H14" s="32">
        <f t="shared" si="1"/>
        <v>-5</v>
      </c>
      <c r="I14" s="82">
        <v>-6.1</v>
      </c>
      <c r="J14" s="14">
        <v>-5.9565375707300001</v>
      </c>
      <c r="K14" s="14">
        <v>-15.2637165948027</v>
      </c>
      <c r="L14" s="82">
        <v>-9.7664190574055674</v>
      </c>
      <c r="M14" s="88">
        <v>80</v>
      </c>
      <c r="N14" s="24">
        <v>66</v>
      </c>
      <c r="O14" s="84">
        <v>73.489955357142847</v>
      </c>
      <c r="P14" s="122">
        <v>1014.28578166051</v>
      </c>
      <c r="Q14" s="21">
        <v>1008.40610055482</v>
      </c>
      <c r="R14" s="70">
        <v>1012.3387271495592</v>
      </c>
      <c r="S14" s="75">
        <v>5.8</v>
      </c>
      <c r="T14" s="65">
        <v>3.557160539657569</v>
      </c>
      <c r="U14" s="25">
        <v>0.9</v>
      </c>
      <c r="V14" s="223" t="s">
        <v>231</v>
      </c>
      <c r="W14" s="225" t="s">
        <v>200</v>
      </c>
      <c r="X14" s="16">
        <v>1.2</v>
      </c>
      <c r="Y14" s="17">
        <v>3</v>
      </c>
      <c r="Z14" s="18">
        <v>2</v>
      </c>
      <c r="AA14" s="46">
        <v>12.5</v>
      </c>
      <c r="AB14" s="327" t="s">
        <v>216</v>
      </c>
      <c r="AC14" s="29"/>
    </row>
    <row r="15" spans="1:29" s="230" customFormat="1" x14ac:dyDescent="0.3">
      <c r="A15" s="42">
        <v>43478</v>
      </c>
      <c r="B15" s="337">
        <v>-2.2999999999999998</v>
      </c>
      <c r="C15" s="338">
        <v>-1.4</v>
      </c>
      <c r="D15" s="338">
        <v>-0.4</v>
      </c>
      <c r="E15" s="338">
        <v>2.2999999999999998</v>
      </c>
      <c r="F15" s="338">
        <v>-3.3</v>
      </c>
      <c r="G15" s="32">
        <f t="shared" si="0"/>
        <v>5.6</v>
      </c>
      <c r="H15" s="339">
        <f t="shared" si="1"/>
        <v>-1.125</v>
      </c>
      <c r="I15" s="340">
        <v>-1.4</v>
      </c>
      <c r="J15" s="338">
        <v>-1.11545280616881</v>
      </c>
      <c r="K15" s="338">
        <v>-5.9565375707300001</v>
      </c>
      <c r="L15" s="340">
        <v>-4.3293752120299329</v>
      </c>
      <c r="M15" s="341">
        <v>82</v>
      </c>
      <c r="N15" s="342">
        <v>75</v>
      </c>
      <c r="O15" s="343">
        <v>79.061507936507951</v>
      </c>
      <c r="P15" s="344">
        <v>1008.2514661916</v>
      </c>
      <c r="Q15" s="345">
        <v>988.55399695101096</v>
      </c>
      <c r="R15" s="346">
        <v>1001.3764201781671</v>
      </c>
      <c r="S15" s="347">
        <v>9.1999999999999993</v>
      </c>
      <c r="T15" s="348">
        <v>5.8080645859619722</v>
      </c>
      <c r="U15" s="349">
        <v>3</v>
      </c>
      <c r="V15" s="350" t="s">
        <v>230</v>
      </c>
      <c r="W15" s="226" t="s">
        <v>206</v>
      </c>
      <c r="X15" s="351">
        <v>1.2</v>
      </c>
      <c r="Y15" s="352">
        <v>1</v>
      </c>
      <c r="Z15" s="353">
        <v>1</v>
      </c>
      <c r="AA15" s="354">
        <v>13</v>
      </c>
      <c r="AB15" s="336" t="s">
        <v>212</v>
      </c>
      <c r="AC15" s="253"/>
    </row>
    <row r="16" spans="1:29" s="20" customFormat="1" x14ac:dyDescent="0.3">
      <c r="A16" s="42">
        <v>43479</v>
      </c>
      <c r="B16" s="43">
        <v>0.5</v>
      </c>
      <c r="C16" s="14">
        <v>5.0999999999999996</v>
      </c>
      <c r="D16" s="14">
        <v>-1.9</v>
      </c>
      <c r="E16" s="14">
        <v>5.2</v>
      </c>
      <c r="F16" s="14">
        <v>-2.4</v>
      </c>
      <c r="G16" s="32">
        <f t="shared" si="0"/>
        <v>7.6</v>
      </c>
      <c r="H16" s="32">
        <f t="shared" si="1"/>
        <v>0.44999999999999996</v>
      </c>
      <c r="I16" s="82">
        <v>1</v>
      </c>
      <c r="J16" s="14">
        <v>0.32911688500608399</v>
      </c>
      <c r="K16" s="14">
        <v>-9.9685972171032393</v>
      </c>
      <c r="L16" s="82">
        <v>-4.0167422634058516</v>
      </c>
      <c r="M16" s="88">
        <v>84</v>
      </c>
      <c r="N16" s="24">
        <v>52</v>
      </c>
      <c r="O16" s="84">
        <v>70.526013346515072</v>
      </c>
      <c r="P16" s="122">
        <v>1004.14180038265</v>
      </c>
      <c r="Q16" s="21">
        <v>986.95295946399199</v>
      </c>
      <c r="R16" s="70">
        <v>993.72613233720472</v>
      </c>
      <c r="S16" s="75">
        <v>13.9</v>
      </c>
      <c r="T16" s="65">
        <v>8.4857564680987636</v>
      </c>
      <c r="U16" s="25">
        <v>2.5</v>
      </c>
      <c r="V16" s="223" t="s">
        <v>231</v>
      </c>
      <c r="W16" s="226" t="s">
        <v>200</v>
      </c>
      <c r="X16" s="26">
        <v>1.2</v>
      </c>
      <c r="Y16" s="27">
        <v>0.8</v>
      </c>
      <c r="Z16" s="28">
        <v>0.4</v>
      </c>
      <c r="AA16" s="30">
        <v>10.5</v>
      </c>
      <c r="AB16" s="328" t="s">
        <v>209</v>
      </c>
      <c r="AC16" s="29"/>
    </row>
    <row r="17" spans="1:29" s="20" customFormat="1" x14ac:dyDescent="0.3">
      <c r="A17" s="42">
        <v>43480</v>
      </c>
      <c r="B17" s="43">
        <v>-2.7</v>
      </c>
      <c r="C17" s="14">
        <v>1.8</v>
      </c>
      <c r="D17" s="14">
        <v>-1.3</v>
      </c>
      <c r="E17" s="14">
        <v>3</v>
      </c>
      <c r="F17" s="14">
        <v>-4.5999999999999996</v>
      </c>
      <c r="G17" s="32">
        <f t="shared" si="0"/>
        <v>7.6</v>
      </c>
      <c r="H17" s="32">
        <f t="shared" si="1"/>
        <v>-0.875</v>
      </c>
      <c r="I17" s="82">
        <v>-1.1000000000000001</v>
      </c>
      <c r="J17" s="14">
        <v>-4.2017709979912796</v>
      </c>
      <c r="K17" s="14">
        <v>-11.1576894396905</v>
      </c>
      <c r="L17" s="82">
        <v>-7.0462786865055564</v>
      </c>
      <c r="M17" s="88">
        <v>80</v>
      </c>
      <c r="N17" s="24">
        <v>49.857142857142897</v>
      </c>
      <c r="O17" s="84">
        <v>64.742993551587304</v>
      </c>
      <c r="P17" s="122">
        <v>1008.60985391364</v>
      </c>
      <c r="Q17" s="21">
        <v>1004.16363143013</v>
      </c>
      <c r="R17" s="70">
        <v>1006.4782541768041</v>
      </c>
      <c r="S17" s="75">
        <v>7.5</v>
      </c>
      <c r="T17" s="65">
        <v>4.328592945848361</v>
      </c>
      <c r="U17" s="25">
        <v>1.3</v>
      </c>
      <c r="V17" s="223" t="s">
        <v>232</v>
      </c>
      <c r="W17" s="226" t="s">
        <v>200</v>
      </c>
      <c r="X17" s="26">
        <v>1.2</v>
      </c>
      <c r="Y17" s="27">
        <v>8</v>
      </c>
      <c r="Z17" s="28">
        <v>7.5</v>
      </c>
      <c r="AA17" s="30">
        <v>12</v>
      </c>
      <c r="AB17" s="328" t="s">
        <v>217</v>
      </c>
      <c r="AC17" s="29"/>
    </row>
    <row r="18" spans="1:29" s="20" customFormat="1" x14ac:dyDescent="0.3">
      <c r="A18" s="42">
        <v>43481</v>
      </c>
      <c r="B18" s="43">
        <v>-1</v>
      </c>
      <c r="C18" s="14">
        <v>1.4</v>
      </c>
      <c r="D18" s="14">
        <v>1</v>
      </c>
      <c r="E18" s="14">
        <v>1.7</v>
      </c>
      <c r="F18" s="14">
        <v>-1.8</v>
      </c>
      <c r="G18" s="32">
        <f t="shared" si="0"/>
        <v>3.5</v>
      </c>
      <c r="H18" s="32">
        <f t="shared" si="1"/>
        <v>0.6</v>
      </c>
      <c r="I18" s="82">
        <v>0.2</v>
      </c>
      <c r="J18" s="14">
        <v>-0.70970334301876503</v>
      </c>
      <c r="K18" s="14">
        <v>-4.7866555177786596</v>
      </c>
      <c r="L18" s="82">
        <v>-2.1934994696099972</v>
      </c>
      <c r="M18" s="88">
        <v>85</v>
      </c>
      <c r="N18" s="24">
        <v>80</v>
      </c>
      <c r="O18" s="84">
        <v>83.060639880952365</v>
      </c>
      <c r="P18" s="122">
        <v>1011.69524402039</v>
      </c>
      <c r="Q18" s="21">
        <v>1004.33100278584</v>
      </c>
      <c r="R18" s="70">
        <v>1008.7300189603872</v>
      </c>
      <c r="S18" s="75">
        <v>6.1</v>
      </c>
      <c r="T18" s="65">
        <v>4.2357353413994723</v>
      </c>
      <c r="U18" s="25">
        <v>0.8</v>
      </c>
      <c r="V18" s="223" t="s">
        <v>229</v>
      </c>
      <c r="W18" s="226" t="s">
        <v>200</v>
      </c>
      <c r="X18" s="26">
        <v>1.2</v>
      </c>
      <c r="Y18" s="27">
        <v>0.5</v>
      </c>
      <c r="Z18" s="28">
        <v>0</v>
      </c>
      <c r="AA18" s="30">
        <v>15.5</v>
      </c>
      <c r="AB18" s="328" t="s">
        <v>218</v>
      </c>
      <c r="AC18" s="29"/>
    </row>
    <row r="19" spans="1:29" s="20" customFormat="1" x14ac:dyDescent="0.3">
      <c r="A19" s="42">
        <v>43482</v>
      </c>
      <c r="B19" s="43">
        <v>0.7</v>
      </c>
      <c r="C19" s="14">
        <v>2.8</v>
      </c>
      <c r="D19" s="14">
        <v>0.6</v>
      </c>
      <c r="E19" s="14">
        <v>3</v>
      </c>
      <c r="F19" s="14">
        <v>0.6</v>
      </c>
      <c r="G19" s="32">
        <f t="shared" si="0"/>
        <v>2.4</v>
      </c>
      <c r="H19" s="32">
        <f t="shared" si="1"/>
        <v>1.175</v>
      </c>
      <c r="I19" s="82">
        <v>1.5</v>
      </c>
      <c r="J19" s="14">
        <v>-0.88559461498180003</v>
      </c>
      <c r="K19" s="14">
        <v>-3.2336098745830002</v>
      </c>
      <c r="L19" s="82">
        <v>-1.7304186671891699</v>
      </c>
      <c r="M19" s="88">
        <v>84</v>
      </c>
      <c r="N19" s="24">
        <v>72</v>
      </c>
      <c r="O19" s="84">
        <v>78.858134920634924</v>
      </c>
      <c r="P19" s="122">
        <v>1010.16164921162</v>
      </c>
      <c r="Q19" s="21">
        <v>1007.99859340441</v>
      </c>
      <c r="R19" s="70">
        <v>1009.0071265331509</v>
      </c>
      <c r="S19" s="75">
        <v>11.2</v>
      </c>
      <c r="T19" s="65">
        <v>7.7714672031073047</v>
      </c>
      <c r="U19" s="25">
        <v>3.1</v>
      </c>
      <c r="V19" s="223" t="s">
        <v>226</v>
      </c>
      <c r="W19" s="226" t="s">
        <v>219</v>
      </c>
      <c r="X19" s="26">
        <v>0</v>
      </c>
      <c r="Y19" s="27">
        <v>0</v>
      </c>
      <c r="Z19" s="28">
        <v>0</v>
      </c>
      <c r="AA19" s="30">
        <v>11</v>
      </c>
      <c r="AB19" s="328" t="s">
        <v>212</v>
      </c>
      <c r="AC19" s="29"/>
    </row>
    <row r="20" spans="1:29" s="20" customFormat="1" x14ac:dyDescent="0.3">
      <c r="A20" s="42">
        <v>43483</v>
      </c>
      <c r="B20" s="43">
        <v>0.8</v>
      </c>
      <c r="C20" s="14">
        <v>1.5</v>
      </c>
      <c r="D20" s="14">
        <v>-0.6</v>
      </c>
      <c r="E20" s="14">
        <v>2.4</v>
      </c>
      <c r="F20" s="14">
        <v>-1.1000000000000001</v>
      </c>
      <c r="G20" s="32">
        <f t="shared" si="0"/>
        <v>3.5</v>
      </c>
      <c r="H20" s="32">
        <f t="shared" si="1"/>
        <v>0.27499999999999997</v>
      </c>
      <c r="I20" s="82">
        <v>0.8</v>
      </c>
      <c r="J20" s="14">
        <v>0.13922122139932999</v>
      </c>
      <c r="K20" s="14">
        <v>-5.30910103346916</v>
      </c>
      <c r="L20" s="82">
        <v>-2.0162298379338299</v>
      </c>
      <c r="M20" s="88">
        <v>85</v>
      </c>
      <c r="N20" s="24">
        <v>71</v>
      </c>
      <c r="O20" s="84">
        <v>81.760714285714286</v>
      </c>
      <c r="P20" s="122">
        <v>1020.26721455491</v>
      </c>
      <c r="Q20" s="21">
        <v>1007.62747031647</v>
      </c>
      <c r="R20" s="70">
        <v>1012.9411924623798</v>
      </c>
      <c r="S20" s="75">
        <v>4.0999999999999996</v>
      </c>
      <c r="T20" s="65">
        <v>2.7857281334667752</v>
      </c>
      <c r="U20" s="25">
        <v>0.8</v>
      </c>
      <c r="V20" s="223" t="s">
        <v>233</v>
      </c>
      <c r="W20" s="226" t="s">
        <v>200</v>
      </c>
      <c r="X20" s="26">
        <v>1.2</v>
      </c>
      <c r="Y20" s="27">
        <v>3.1</v>
      </c>
      <c r="Z20" s="28">
        <v>0</v>
      </c>
      <c r="AA20" s="30">
        <v>9.5</v>
      </c>
      <c r="AB20" s="328" t="s">
        <v>221</v>
      </c>
      <c r="AC20" s="29"/>
    </row>
    <row r="21" spans="1:29" s="20" customFormat="1" x14ac:dyDescent="0.3">
      <c r="A21" s="42">
        <v>43484</v>
      </c>
      <c r="B21" s="43">
        <v>-7.3</v>
      </c>
      <c r="C21" s="14">
        <v>-0.6</v>
      </c>
      <c r="D21" s="14">
        <v>-7.6</v>
      </c>
      <c r="E21" s="14">
        <v>0.2</v>
      </c>
      <c r="F21" s="14">
        <v>-8.8000000000000007</v>
      </c>
      <c r="G21" s="32">
        <f t="shared" si="0"/>
        <v>9</v>
      </c>
      <c r="H21" s="68">
        <f t="shared" si="1"/>
        <v>-5.7749999999999995</v>
      </c>
      <c r="I21" s="82">
        <v>-4.5999999999999996</v>
      </c>
      <c r="J21" s="14">
        <v>-5.3915242666300101</v>
      </c>
      <c r="K21" s="14">
        <v>-13.2636493800102</v>
      </c>
      <c r="L21" s="82">
        <v>-9.9916451397811734</v>
      </c>
      <c r="M21" s="88">
        <v>75</v>
      </c>
      <c r="N21" s="24">
        <v>55</v>
      </c>
      <c r="O21" s="84">
        <v>67.982785200411087</v>
      </c>
      <c r="P21" s="122">
        <v>1023.01775879149</v>
      </c>
      <c r="Q21" s="21">
        <v>1019.13933829802</v>
      </c>
      <c r="R21" s="70">
        <v>1021.1960084630371</v>
      </c>
      <c r="S21" s="75">
        <v>3.1</v>
      </c>
      <c r="T21" s="65">
        <v>1.6223294931118986</v>
      </c>
      <c r="U21" s="25">
        <v>0.4</v>
      </c>
      <c r="V21" s="223" t="s">
        <v>233</v>
      </c>
      <c r="W21" s="226"/>
      <c r="X21" s="26">
        <v>0</v>
      </c>
      <c r="Y21" s="27">
        <v>0</v>
      </c>
      <c r="Z21" s="28">
        <v>0</v>
      </c>
      <c r="AA21" s="30">
        <v>8</v>
      </c>
      <c r="AB21" s="328" t="s">
        <v>220</v>
      </c>
      <c r="AC21" s="29"/>
    </row>
    <row r="22" spans="1:29" s="20" customFormat="1" x14ac:dyDescent="0.3">
      <c r="A22" s="42">
        <v>43485</v>
      </c>
      <c r="B22" s="43">
        <v>-10.1</v>
      </c>
      <c r="C22" s="14">
        <v>-2.6</v>
      </c>
      <c r="D22" s="14">
        <v>-4</v>
      </c>
      <c r="E22" s="14">
        <v>-2</v>
      </c>
      <c r="F22" s="14">
        <v>-10.199999999999999</v>
      </c>
      <c r="G22" s="32">
        <f t="shared" si="0"/>
        <v>8.1999999999999993</v>
      </c>
      <c r="H22" s="68">
        <f t="shared" si="1"/>
        <v>-5.1749999999999998</v>
      </c>
      <c r="I22" s="82">
        <v>-5.8</v>
      </c>
      <c r="J22" s="14">
        <v>-7.6839156261090604</v>
      </c>
      <c r="K22" s="14">
        <v>-14.6880415161733</v>
      </c>
      <c r="L22" s="82">
        <v>-10.53357299904739</v>
      </c>
      <c r="M22" s="88">
        <v>73</v>
      </c>
      <c r="N22" s="24">
        <v>62</v>
      </c>
      <c r="O22" s="84">
        <v>68.656244627815028</v>
      </c>
      <c r="P22" s="122">
        <v>1019.2921475998</v>
      </c>
      <c r="Q22" s="21">
        <v>1014.89884788066</v>
      </c>
      <c r="R22" s="70">
        <v>1016.9596192301817</v>
      </c>
      <c r="S22" s="75">
        <v>2</v>
      </c>
      <c r="T22" s="65">
        <v>1.4000069593833</v>
      </c>
      <c r="U22" s="25">
        <v>0.4</v>
      </c>
      <c r="V22" s="223" t="s">
        <v>234</v>
      </c>
      <c r="W22" s="226" t="s">
        <v>211</v>
      </c>
      <c r="X22" s="26">
        <v>0</v>
      </c>
      <c r="Y22" s="27">
        <v>0</v>
      </c>
      <c r="Z22" s="28">
        <v>0</v>
      </c>
      <c r="AA22" s="30">
        <v>8</v>
      </c>
      <c r="AB22" s="328" t="s">
        <v>212</v>
      </c>
      <c r="AC22" s="29"/>
    </row>
    <row r="23" spans="1:29" s="20" customFormat="1" x14ac:dyDescent="0.3">
      <c r="A23" s="42">
        <v>43486</v>
      </c>
      <c r="B23" s="43">
        <v>-5.9</v>
      </c>
      <c r="C23" s="14">
        <v>-2.2000000000000002</v>
      </c>
      <c r="D23" s="14">
        <v>-10.6</v>
      </c>
      <c r="E23" s="14">
        <v>-1.7</v>
      </c>
      <c r="F23" s="14">
        <v>-13.9</v>
      </c>
      <c r="G23" s="32">
        <f t="shared" si="0"/>
        <v>12.200000000000001</v>
      </c>
      <c r="H23" s="68">
        <f t="shared" si="1"/>
        <v>-7.3250000000000002</v>
      </c>
      <c r="I23" s="82">
        <v>-6.4</v>
      </c>
      <c r="J23" s="14">
        <v>-7.4965121397191599</v>
      </c>
      <c r="K23" s="14">
        <v>-20.113647507434401</v>
      </c>
      <c r="L23" s="82">
        <v>-12.130074622203503</v>
      </c>
      <c r="M23" s="88">
        <v>73</v>
      </c>
      <c r="N23" s="24">
        <v>61</v>
      </c>
      <c r="O23" s="84">
        <v>65.592218137254903</v>
      </c>
      <c r="P23" s="122">
        <v>1022.74125023927</v>
      </c>
      <c r="Q23" s="21">
        <v>1019.35581810951</v>
      </c>
      <c r="R23" s="70">
        <v>1021.26942674441</v>
      </c>
      <c r="S23" s="75">
        <v>6.1</v>
      </c>
      <c r="T23" s="65">
        <v>4.3785931943977641</v>
      </c>
      <c r="U23" s="25">
        <v>1.2</v>
      </c>
      <c r="V23" s="223" t="s">
        <v>227</v>
      </c>
      <c r="W23" s="226" t="s">
        <v>211</v>
      </c>
      <c r="X23" s="26">
        <v>0</v>
      </c>
      <c r="Y23" s="27">
        <v>0</v>
      </c>
      <c r="Z23" s="28">
        <v>0</v>
      </c>
      <c r="AA23" s="30">
        <v>8</v>
      </c>
      <c r="AB23" s="328" t="s">
        <v>214</v>
      </c>
      <c r="AC23" s="29"/>
    </row>
    <row r="24" spans="1:29" s="20" customFormat="1" x14ac:dyDescent="0.3">
      <c r="A24" s="42">
        <v>43487</v>
      </c>
      <c r="B24" s="43">
        <v>-17</v>
      </c>
      <c r="C24" s="14">
        <v>-7.3</v>
      </c>
      <c r="D24" s="14">
        <v>-10.5</v>
      </c>
      <c r="E24" s="14">
        <v>-5.7</v>
      </c>
      <c r="F24" s="14">
        <v>-17.3</v>
      </c>
      <c r="G24" s="32">
        <f t="shared" si="0"/>
        <v>11.600000000000001</v>
      </c>
      <c r="H24" s="68">
        <f t="shared" si="1"/>
        <v>-11.324999999999999</v>
      </c>
      <c r="I24" s="82">
        <v>-12.2</v>
      </c>
      <c r="J24" s="14">
        <v>-12.209787841057</v>
      </c>
      <c r="K24" s="14">
        <v>-23.1156724480275</v>
      </c>
      <c r="L24" s="82">
        <v>-17.759497464881179</v>
      </c>
      <c r="M24" s="88">
        <v>70</v>
      </c>
      <c r="N24" s="24">
        <v>60</v>
      </c>
      <c r="O24" s="84">
        <v>62.38050595238095</v>
      </c>
      <c r="P24" s="122">
        <v>1020.53499355935</v>
      </c>
      <c r="Q24" s="21">
        <v>1007.25634675105</v>
      </c>
      <c r="R24" s="70">
        <v>1014.1715941177819</v>
      </c>
      <c r="S24" s="75">
        <v>1.7</v>
      </c>
      <c r="T24" s="65">
        <v>1.1071483607367931</v>
      </c>
      <c r="U24" s="25">
        <v>0.4</v>
      </c>
      <c r="V24" s="223" t="s">
        <v>227</v>
      </c>
      <c r="W24" s="226"/>
      <c r="X24" s="26">
        <v>0</v>
      </c>
      <c r="Y24" s="27">
        <v>0</v>
      </c>
      <c r="Z24" s="28">
        <v>0</v>
      </c>
      <c r="AA24" s="30">
        <v>8</v>
      </c>
      <c r="AB24" s="328" t="s">
        <v>210</v>
      </c>
      <c r="AC24" s="29"/>
    </row>
    <row r="25" spans="1:29" s="20" customFormat="1" x14ac:dyDescent="0.3">
      <c r="A25" s="42">
        <v>43488</v>
      </c>
      <c r="B25" s="43">
        <v>-6</v>
      </c>
      <c r="C25" s="14">
        <v>-2.2000000000000002</v>
      </c>
      <c r="D25" s="14">
        <v>-4.2</v>
      </c>
      <c r="E25" s="14">
        <v>-1.5</v>
      </c>
      <c r="F25" s="14">
        <v>-11.9</v>
      </c>
      <c r="G25" s="32">
        <f t="shared" si="0"/>
        <v>10.4</v>
      </c>
      <c r="H25" s="68">
        <f t="shared" si="1"/>
        <v>-4.1500000000000004</v>
      </c>
      <c r="I25" s="82">
        <v>-5.0999999999999996</v>
      </c>
      <c r="J25" s="14">
        <v>-6.8588301176746098</v>
      </c>
      <c r="K25" s="14">
        <v>-14.60974108468</v>
      </c>
      <c r="L25" s="82">
        <v>-9.7301875075158701</v>
      </c>
      <c r="M25" s="88">
        <v>74</v>
      </c>
      <c r="N25" s="24">
        <v>61</v>
      </c>
      <c r="O25" s="84">
        <v>68.457961309523796</v>
      </c>
      <c r="P25" s="122">
        <v>1007.1399157252</v>
      </c>
      <c r="Q25" s="21">
        <v>1002.48263554425</v>
      </c>
      <c r="R25" s="70">
        <v>1004.1742354037409</v>
      </c>
      <c r="S25" s="75">
        <v>6.5</v>
      </c>
      <c r="T25" s="65">
        <v>3.9800143164388468</v>
      </c>
      <c r="U25" s="25">
        <v>2</v>
      </c>
      <c r="V25" s="223" t="s">
        <v>234</v>
      </c>
      <c r="W25" s="226" t="s">
        <v>206</v>
      </c>
      <c r="X25" s="26">
        <v>1.2</v>
      </c>
      <c r="Y25" s="27">
        <v>0.5</v>
      </c>
      <c r="Z25" s="28">
        <v>1</v>
      </c>
      <c r="AA25" s="30">
        <v>9</v>
      </c>
      <c r="AB25" s="328" t="s">
        <v>212</v>
      </c>
      <c r="AC25" s="29"/>
    </row>
    <row r="26" spans="1:29" s="20" customFormat="1" x14ac:dyDescent="0.3">
      <c r="A26" s="42">
        <v>43489</v>
      </c>
      <c r="B26" s="43">
        <v>-4.2</v>
      </c>
      <c r="C26" s="14">
        <v>-2.9</v>
      </c>
      <c r="D26" s="14">
        <v>-5.2</v>
      </c>
      <c r="E26" s="14">
        <v>-1.8</v>
      </c>
      <c r="F26" s="14">
        <v>-5.3</v>
      </c>
      <c r="G26" s="32">
        <f t="shared" si="0"/>
        <v>3.5</v>
      </c>
      <c r="H26" s="68">
        <f t="shared" si="1"/>
        <v>-4.375</v>
      </c>
      <c r="I26" s="82">
        <v>-4.0999999999999996</v>
      </c>
      <c r="J26" s="14">
        <v>-8.5273177839326806</v>
      </c>
      <c r="K26" s="14">
        <v>-10.088665721876399</v>
      </c>
      <c r="L26" s="82">
        <v>-9.6918727474340773</v>
      </c>
      <c r="M26" s="88">
        <v>72</v>
      </c>
      <c r="N26" s="24">
        <v>57</v>
      </c>
      <c r="O26" s="84">
        <v>65.305344742063482</v>
      </c>
      <c r="P26" s="122">
        <v>1007.15446960212</v>
      </c>
      <c r="Q26" s="21">
        <v>1004.82583921335</v>
      </c>
      <c r="R26" s="70">
        <v>1006.0007507422542</v>
      </c>
      <c r="S26" s="75">
        <v>8.5</v>
      </c>
      <c r="T26" s="65">
        <v>6.5071752040723752</v>
      </c>
      <c r="U26" s="25">
        <v>2.9</v>
      </c>
      <c r="V26" s="223" t="s">
        <v>227</v>
      </c>
      <c r="W26" s="226" t="s">
        <v>206</v>
      </c>
      <c r="X26" s="26">
        <v>1.2</v>
      </c>
      <c r="Y26" s="27">
        <v>4</v>
      </c>
      <c r="Z26" s="28">
        <v>5.5</v>
      </c>
      <c r="AA26" s="30">
        <v>8.5</v>
      </c>
      <c r="AB26" s="328" t="s">
        <v>212</v>
      </c>
      <c r="AC26" s="29"/>
    </row>
    <row r="27" spans="1:29" s="20" customFormat="1" x14ac:dyDescent="0.3">
      <c r="A27" s="42">
        <v>43490</v>
      </c>
      <c r="B27" s="43">
        <v>-5.3</v>
      </c>
      <c r="C27" s="14">
        <v>-2.1</v>
      </c>
      <c r="D27" s="14">
        <v>-4.0999999999999996</v>
      </c>
      <c r="E27" s="14">
        <v>-1.6</v>
      </c>
      <c r="F27" s="14">
        <v>-6.2</v>
      </c>
      <c r="G27" s="32">
        <f t="shared" si="0"/>
        <v>4.5999999999999996</v>
      </c>
      <c r="H27" s="68">
        <f t="shared" si="1"/>
        <v>-3.9</v>
      </c>
      <c r="I27" s="82">
        <v>-4</v>
      </c>
      <c r="J27" s="14">
        <v>-6.8054681366904397</v>
      </c>
      <c r="K27" s="14">
        <v>-14.439166908123401</v>
      </c>
      <c r="L27" s="82">
        <v>-9.7238736011799212</v>
      </c>
      <c r="M27" s="88">
        <v>74</v>
      </c>
      <c r="N27" s="24">
        <v>59</v>
      </c>
      <c r="O27" s="84">
        <v>64.966269841269821</v>
      </c>
      <c r="P27" s="122">
        <v>1012.39017987266</v>
      </c>
      <c r="Q27" s="21">
        <v>1006.74113911098</v>
      </c>
      <c r="R27" s="70">
        <v>1009.9682774363126</v>
      </c>
      <c r="S27" s="75">
        <v>5.4</v>
      </c>
      <c r="T27" s="65">
        <v>3.2143016924616532</v>
      </c>
      <c r="U27" s="25">
        <v>1.7</v>
      </c>
      <c r="V27" s="223" t="s">
        <v>227</v>
      </c>
      <c r="W27" s="226"/>
      <c r="X27" s="26">
        <v>0</v>
      </c>
      <c r="Y27" s="27">
        <v>0</v>
      </c>
      <c r="Z27" s="28">
        <v>0</v>
      </c>
      <c r="AA27" s="30">
        <v>13</v>
      </c>
      <c r="AB27" s="328" t="s">
        <v>212</v>
      </c>
      <c r="AC27" s="29"/>
    </row>
    <row r="28" spans="1:29" s="20" customFormat="1" x14ac:dyDescent="0.3">
      <c r="A28" s="42">
        <v>43491</v>
      </c>
      <c r="B28" s="43">
        <v>-7</v>
      </c>
      <c r="C28" s="14">
        <v>-1.4</v>
      </c>
      <c r="D28" s="14">
        <v>-3.3</v>
      </c>
      <c r="E28" s="14">
        <v>-1.1000000000000001</v>
      </c>
      <c r="F28" s="14">
        <v>-10.4</v>
      </c>
      <c r="G28" s="32">
        <f t="shared" si="0"/>
        <v>9.3000000000000007</v>
      </c>
      <c r="H28" s="68">
        <f t="shared" si="1"/>
        <v>-3.75</v>
      </c>
      <c r="I28" s="82">
        <v>-4.7</v>
      </c>
      <c r="J28" s="14">
        <v>-8.4446793913904799</v>
      </c>
      <c r="K28" s="14">
        <v>-15.974911401467599</v>
      </c>
      <c r="L28" s="82">
        <v>-10.306522885291795</v>
      </c>
      <c r="M28" s="88">
        <v>72.714285714285694</v>
      </c>
      <c r="N28" s="24">
        <v>55</v>
      </c>
      <c r="O28" s="84">
        <v>64.221031746031741</v>
      </c>
      <c r="P28" s="122">
        <v>1011.30229524867</v>
      </c>
      <c r="Q28" s="21">
        <v>1004.56386708098</v>
      </c>
      <c r="R28" s="70">
        <v>1007.1083543061379</v>
      </c>
      <c r="S28" s="75">
        <v>4.8</v>
      </c>
      <c r="T28" s="65">
        <v>3.4857316131584168</v>
      </c>
      <c r="U28" s="25">
        <v>0.7</v>
      </c>
      <c r="V28" s="223" t="s">
        <v>235</v>
      </c>
      <c r="W28" s="226"/>
      <c r="X28" s="26">
        <v>0</v>
      </c>
      <c r="Y28" s="27">
        <v>0</v>
      </c>
      <c r="Z28" s="28">
        <v>0</v>
      </c>
      <c r="AA28" s="30">
        <v>12</v>
      </c>
      <c r="AB28" s="328" t="s">
        <v>212</v>
      </c>
      <c r="AC28" s="29"/>
    </row>
    <row r="29" spans="1:29" s="20" customFormat="1" x14ac:dyDescent="0.3">
      <c r="A29" s="42">
        <v>43492</v>
      </c>
      <c r="B29" s="43">
        <v>-4</v>
      </c>
      <c r="C29" s="14">
        <v>-1.3</v>
      </c>
      <c r="D29" s="14">
        <v>-0.8</v>
      </c>
      <c r="E29" s="14">
        <v>-0.7</v>
      </c>
      <c r="F29" s="14">
        <v>-4.0999999999999996</v>
      </c>
      <c r="G29" s="32">
        <f t="shared" si="0"/>
        <v>3.3999999999999995</v>
      </c>
      <c r="H29" s="68">
        <f t="shared" si="1"/>
        <v>-1.7250000000000001</v>
      </c>
      <c r="I29" s="82">
        <v>-2.4</v>
      </c>
      <c r="J29" s="14">
        <v>-3.8118689107317998</v>
      </c>
      <c r="K29" s="14">
        <v>-9.3083238233089691</v>
      </c>
      <c r="L29" s="82">
        <v>-6.4566632135579072</v>
      </c>
      <c r="M29" s="88">
        <v>80</v>
      </c>
      <c r="N29" s="24">
        <v>65</v>
      </c>
      <c r="O29" s="84">
        <v>73.095622519841285</v>
      </c>
      <c r="P29" s="122">
        <v>1006.67419114655</v>
      </c>
      <c r="Q29" s="21">
        <v>999.63001350551804</v>
      </c>
      <c r="R29" s="70">
        <v>1003.6723999506517</v>
      </c>
      <c r="S29" s="75">
        <v>11.9</v>
      </c>
      <c r="T29" s="65">
        <v>7.718788369814181</v>
      </c>
      <c r="U29" s="25">
        <v>3.4</v>
      </c>
      <c r="V29" s="223" t="s">
        <v>230</v>
      </c>
      <c r="W29" s="226" t="s">
        <v>206</v>
      </c>
      <c r="X29" s="26">
        <v>1.2</v>
      </c>
      <c r="Y29" s="27">
        <v>0.1</v>
      </c>
      <c r="Z29" s="28">
        <v>0.1</v>
      </c>
      <c r="AA29" s="30">
        <v>11.5</v>
      </c>
      <c r="AB29" s="328" t="s">
        <v>222</v>
      </c>
      <c r="AC29" s="29"/>
    </row>
    <row r="30" spans="1:29" s="20" customFormat="1" x14ac:dyDescent="0.3">
      <c r="A30" s="42">
        <v>43493</v>
      </c>
      <c r="B30" s="43">
        <v>0.3</v>
      </c>
      <c r="C30" s="14">
        <v>5.6</v>
      </c>
      <c r="D30" s="14">
        <v>1.5</v>
      </c>
      <c r="E30" s="14">
        <v>5.7</v>
      </c>
      <c r="F30" s="14">
        <v>-0.8</v>
      </c>
      <c r="G30" s="32">
        <f t="shared" si="0"/>
        <v>6.5</v>
      </c>
      <c r="H30" s="68">
        <f t="shared" si="1"/>
        <v>2.2249999999999996</v>
      </c>
      <c r="I30" s="82">
        <v>2.4</v>
      </c>
      <c r="J30" s="14">
        <v>-1.90807561762192</v>
      </c>
      <c r="K30" s="14">
        <v>-4.9185750742977499</v>
      </c>
      <c r="L30" s="82">
        <v>-3.2605517894407345</v>
      </c>
      <c r="M30" s="88">
        <v>82</v>
      </c>
      <c r="N30" s="24">
        <v>55.571428571428598</v>
      </c>
      <c r="O30" s="84">
        <v>69.539434523809533</v>
      </c>
      <c r="P30" s="122">
        <v>999.57179644549399</v>
      </c>
      <c r="Q30" s="21">
        <v>995.91865076813201</v>
      </c>
      <c r="R30" s="70">
        <v>997.62949379186591</v>
      </c>
      <c r="S30" s="75">
        <v>9.4</v>
      </c>
      <c r="T30" s="65">
        <v>6.0643158597776523</v>
      </c>
      <c r="U30" s="25">
        <v>2.2000000000000002</v>
      </c>
      <c r="V30" s="223" t="s">
        <v>230</v>
      </c>
      <c r="W30" s="226" t="s">
        <v>206</v>
      </c>
      <c r="X30" s="26">
        <v>1.2</v>
      </c>
      <c r="Y30" s="27">
        <v>1.5</v>
      </c>
      <c r="Z30" s="28">
        <v>1.5</v>
      </c>
      <c r="AA30" s="30">
        <v>11</v>
      </c>
      <c r="AB30" s="328" t="s">
        <v>212</v>
      </c>
      <c r="AC30" s="29"/>
    </row>
    <row r="31" spans="1:29" s="20" customFormat="1" x14ac:dyDescent="0.3">
      <c r="A31" s="42">
        <v>43494</v>
      </c>
      <c r="B31" s="43">
        <v>0.6</v>
      </c>
      <c r="C31" s="14">
        <v>2.4</v>
      </c>
      <c r="D31" s="14">
        <v>0.8</v>
      </c>
      <c r="E31" s="14">
        <v>2.7</v>
      </c>
      <c r="F31" s="14">
        <v>0.5</v>
      </c>
      <c r="G31" s="32">
        <f t="shared" si="0"/>
        <v>2.2000000000000002</v>
      </c>
      <c r="H31" s="68">
        <f t="shared" si="1"/>
        <v>1.1499999999999999</v>
      </c>
      <c r="I31" s="82">
        <v>1.1000000000000001</v>
      </c>
      <c r="J31" s="14">
        <v>7.2745839077765304E-3</v>
      </c>
      <c r="K31" s="14">
        <v>-2.2117067211547798</v>
      </c>
      <c r="L31" s="82">
        <v>-1.5195920268519143</v>
      </c>
      <c r="M31" s="88">
        <v>85</v>
      </c>
      <c r="N31" s="24">
        <v>80</v>
      </c>
      <c r="O31" s="84">
        <v>82.359747023809533</v>
      </c>
      <c r="P31" s="122">
        <v>1007.35822385822</v>
      </c>
      <c r="Q31" s="21">
        <v>999.10605939622496</v>
      </c>
      <c r="R31" s="70">
        <v>1004.2858940734903</v>
      </c>
      <c r="S31" s="75">
        <v>4.8</v>
      </c>
      <c r="T31" s="65">
        <v>3.1071583027129441</v>
      </c>
      <c r="U31" s="25">
        <v>0.8</v>
      </c>
      <c r="V31" s="223" t="s">
        <v>236</v>
      </c>
      <c r="W31" s="226"/>
      <c r="X31" s="26">
        <v>0</v>
      </c>
      <c r="Y31" s="27">
        <v>0</v>
      </c>
      <c r="Z31" s="28">
        <v>0</v>
      </c>
      <c r="AA31" s="30">
        <v>11.5</v>
      </c>
      <c r="AB31" s="328" t="s">
        <v>212</v>
      </c>
      <c r="AC31" s="29"/>
    </row>
    <row r="32" spans="1:29" s="20" customFormat="1" x14ac:dyDescent="0.3">
      <c r="A32" s="42">
        <v>43495</v>
      </c>
      <c r="B32" s="43">
        <v>-0.1</v>
      </c>
      <c r="C32" s="14">
        <v>2.9</v>
      </c>
      <c r="D32" s="14">
        <v>0.9</v>
      </c>
      <c r="E32" s="14">
        <v>3.4</v>
      </c>
      <c r="F32" s="14">
        <v>-0.1</v>
      </c>
      <c r="G32" s="32">
        <f t="shared" si="0"/>
        <v>3.5</v>
      </c>
      <c r="H32" s="68">
        <f t="shared" si="1"/>
        <v>1.1499999999999999</v>
      </c>
      <c r="I32" s="82">
        <v>1.1000000000000001</v>
      </c>
      <c r="J32" s="14">
        <v>-9.0579589738588595E-2</v>
      </c>
      <c r="K32" s="14">
        <v>-2.6350965782154199</v>
      </c>
      <c r="L32" s="82">
        <v>-1.880572522135002</v>
      </c>
      <c r="M32" s="88">
        <v>84</v>
      </c>
      <c r="N32" s="24">
        <v>72</v>
      </c>
      <c r="O32" s="84">
        <v>80.451140873015888</v>
      </c>
      <c r="P32" s="122">
        <v>1005.75729366643</v>
      </c>
      <c r="Q32" s="21">
        <v>1001.30374932734</v>
      </c>
      <c r="R32" s="70">
        <v>1002.6605095754736</v>
      </c>
      <c r="S32" s="75">
        <v>2.4</v>
      </c>
      <c r="T32" s="65">
        <v>1.1571486092861973</v>
      </c>
      <c r="U32" s="25">
        <v>0.3</v>
      </c>
      <c r="V32" s="223" t="s">
        <v>231</v>
      </c>
      <c r="W32" s="226" t="s">
        <v>206</v>
      </c>
      <c r="X32" s="26">
        <v>1.2</v>
      </c>
      <c r="Y32" s="27">
        <v>0.2</v>
      </c>
      <c r="Z32" s="28">
        <v>0</v>
      </c>
      <c r="AA32" s="30">
        <v>11</v>
      </c>
      <c r="AB32" s="328" t="s">
        <v>214</v>
      </c>
      <c r="AC32" s="29"/>
    </row>
    <row r="33" spans="1:29" s="20" customFormat="1" ht="15" thickBot="1" x14ac:dyDescent="0.35">
      <c r="A33" s="42">
        <v>43496</v>
      </c>
      <c r="B33" s="44">
        <v>0.2</v>
      </c>
      <c r="C33" s="22">
        <v>3.7</v>
      </c>
      <c r="D33" s="22">
        <v>-3.6</v>
      </c>
      <c r="E33" s="22">
        <v>4.3</v>
      </c>
      <c r="F33" s="22">
        <v>-5.3</v>
      </c>
      <c r="G33" s="22">
        <f t="shared" si="0"/>
        <v>9.6</v>
      </c>
      <c r="H33" s="22">
        <f t="shared" si="1"/>
        <v>-0.82499999999999996</v>
      </c>
      <c r="I33" s="83">
        <v>-0.1</v>
      </c>
      <c r="J33" s="22">
        <v>-1.8018901072016</v>
      </c>
      <c r="K33" s="22">
        <v>-9.3681105449720992</v>
      </c>
      <c r="L33" s="83">
        <v>-4.313746593355936</v>
      </c>
      <c r="M33" s="89">
        <v>83</v>
      </c>
      <c r="N33" s="71">
        <v>55.714285714285701</v>
      </c>
      <c r="O33" s="85">
        <v>74.743799603174622</v>
      </c>
      <c r="P33" s="123">
        <v>1006.36673974501</v>
      </c>
      <c r="Q33" s="72">
        <v>1002.21520344674</v>
      </c>
      <c r="R33" s="73">
        <v>1003.3583927939599</v>
      </c>
      <c r="S33" s="77">
        <v>3.1</v>
      </c>
      <c r="T33" s="67">
        <v>2.0401887131319136</v>
      </c>
      <c r="U33" s="45">
        <v>0.5</v>
      </c>
      <c r="V33" s="227" t="s">
        <v>231</v>
      </c>
      <c r="W33" s="228" t="s">
        <v>211</v>
      </c>
      <c r="X33" s="47">
        <v>0</v>
      </c>
      <c r="Y33" s="48">
        <v>0</v>
      </c>
      <c r="Z33" s="49">
        <v>0</v>
      </c>
      <c r="AA33" s="50">
        <v>11</v>
      </c>
      <c r="AB33" s="329" t="s">
        <v>212</v>
      </c>
      <c r="AC33" s="29"/>
    </row>
    <row r="34" spans="1:29" s="37" customFormat="1" x14ac:dyDescent="0.3">
      <c r="A34" s="42">
        <v>43497</v>
      </c>
      <c r="B34" s="79">
        <v>-0.4</v>
      </c>
      <c r="C34" s="32">
        <v>1.4</v>
      </c>
      <c r="D34" s="32">
        <v>3.8</v>
      </c>
      <c r="E34" s="32">
        <v>4.4000000000000004</v>
      </c>
      <c r="F34" s="32">
        <v>-4.9000000000000004</v>
      </c>
      <c r="G34" s="80">
        <f t="shared" si="0"/>
        <v>9.3000000000000007</v>
      </c>
      <c r="H34" s="80">
        <f t="shared" si="1"/>
        <v>2.15</v>
      </c>
      <c r="I34" s="87">
        <v>0.6</v>
      </c>
      <c r="J34" s="32">
        <v>-9.4714788216452003E-2</v>
      </c>
      <c r="K34" s="32">
        <v>-7.0946202247077004</v>
      </c>
      <c r="L34" s="87">
        <v>-2.4692221031321844</v>
      </c>
      <c r="M34" s="119">
        <v>82</v>
      </c>
      <c r="N34" s="33">
        <v>68</v>
      </c>
      <c r="O34" s="114">
        <v>78.249813988095241</v>
      </c>
      <c r="P34" s="124">
        <v>1008.47886962643</v>
      </c>
      <c r="Q34" s="34">
        <v>1005.50987636339</v>
      </c>
      <c r="R34" s="74">
        <v>1007.2285505534251</v>
      </c>
      <c r="S34" s="116">
        <v>11.2</v>
      </c>
      <c r="T34" s="35">
        <v>7.7786100957572222</v>
      </c>
      <c r="U34" s="35">
        <v>3.6</v>
      </c>
      <c r="V34" s="37" t="s">
        <v>230</v>
      </c>
      <c r="W34" s="229" t="s">
        <v>219</v>
      </c>
      <c r="X34" s="109">
        <v>0</v>
      </c>
      <c r="Y34" s="110">
        <v>0</v>
      </c>
      <c r="Z34" s="111">
        <v>0</v>
      </c>
      <c r="AA34" s="117">
        <v>10</v>
      </c>
      <c r="AB34" s="326" t="s">
        <v>224</v>
      </c>
      <c r="AC34" s="36"/>
    </row>
    <row r="35" spans="1:29" s="20" customFormat="1" x14ac:dyDescent="0.3">
      <c r="A35" s="42">
        <v>43498</v>
      </c>
      <c r="B35" s="43">
        <v>5.0999999999999996</v>
      </c>
      <c r="C35" s="14">
        <v>7.5</v>
      </c>
      <c r="D35" s="14">
        <v>4.4000000000000004</v>
      </c>
      <c r="E35" s="14">
        <v>7.7</v>
      </c>
      <c r="F35" s="14">
        <v>2.2000000000000002</v>
      </c>
      <c r="G35" s="80">
        <f t="shared" si="0"/>
        <v>5.5</v>
      </c>
      <c r="H35" s="80">
        <f t="shared" si="1"/>
        <v>5.35</v>
      </c>
      <c r="I35" s="82">
        <v>5.7</v>
      </c>
      <c r="J35" s="14">
        <v>1.4665218150318999</v>
      </c>
      <c r="K35" s="14">
        <v>-1.0277342547551001</v>
      </c>
      <c r="L35" s="82">
        <v>0.18518335051162355</v>
      </c>
      <c r="M35" s="88">
        <v>82</v>
      </c>
      <c r="N35" s="24">
        <v>61</v>
      </c>
      <c r="O35" s="84">
        <v>68.435305059523813</v>
      </c>
      <c r="P35" s="122">
        <v>1008.10047025068</v>
      </c>
      <c r="Q35" s="21">
        <v>1004.6948531812</v>
      </c>
      <c r="R35" s="70">
        <v>1005.9406568703788</v>
      </c>
      <c r="S35" s="75">
        <v>10.199999999999999</v>
      </c>
      <c r="T35" s="65">
        <v>6.5428896673219441</v>
      </c>
      <c r="U35" s="25">
        <v>2.2000000000000002</v>
      </c>
      <c r="V35" s="20" t="s">
        <v>230</v>
      </c>
      <c r="W35" s="224" t="s">
        <v>223</v>
      </c>
      <c r="X35" s="16">
        <v>0</v>
      </c>
      <c r="Y35" s="17">
        <v>0</v>
      </c>
      <c r="Z35" s="18">
        <v>0</v>
      </c>
      <c r="AA35" s="46">
        <v>7</v>
      </c>
      <c r="AB35" s="327" t="s">
        <v>224</v>
      </c>
      <c r="AC35" s="29"/>
    </row>
    <row r="36" spans="1:29" s="20" customFormat="1" x14ac:dyDescent="0.3">
      <c r="A36" s="42">
        <v>43499</v>
      </c>
      <c r="B36" s="43">
        <v>0.2</v>
      </c>
      <c r="C36" s="14">
        <v>12.2</v>
      </c>
      <c r="D36" s="14">
        <v>2.2999999999999998</v>
      </c>
      <c r="E36" s="14">
        <v>13.2</v>
      </c>
      <c r="F36" s="14">
        <v>-0.3</v>
      </c>
      <c r="G36" s="80">
        <f t="shared" si="0"/>
        <v>13.5</v>
      </c>
      <c r="H36" s="80">
        <f t="shared" si="1"/>
        <v>4.25</v>
      </c>
      <c r="I36" s="82">
        <v>4.0999999999999996</v>
      </c>
      <c r="J36" s="14">
        <v>3.93297141249497</v>
      </c>
      <c r="K36" s="14">
        <v>-2.9936256415516702</v>
      </c>
      <c r="L36" s="82">
        <v>-0.34502847889957372</v>
      </c>
      <c r="M36" s="88">
        <v>85</v>
      </c>
      <c r="N36" s="24">
        <v>43</v>
      </c>
      <c r="O36" s="84">
        <v>73.065004960317466</v>
      </c>
      <c r="P36" s="122">
        <v>1012.22463247388</v>
      </c>
      <c r="Q36" s="21">
        <v>1006.9070535325</v>
      </c>
      <c r="R36" s="70">
        <v>1008.2792943185462</v>
      </c>
      <c r="S36" s="75">
        <v>6.8</v>
      </c>
      <c r="T36" s="65">
        <v>4.8400173487400275</v>
      </c>
      <c r="U36" s="25">
        <v>0.9</v>
      </c>
      <c r="V36" s="20" t="s">
        <v>226</v>
      </c>
      <c r="W36" s="224"/>
      <c r="X36" s="16">
        <v>0</v>
      </c>
      <c r="Y36" s="17">
        <v>0</v>
      </c>
      <c r="Z36" s="18">
        <v>0</v>
      </c>
      <c r="AA36" s="46">
        <v>4</v>
      </c>
      <c r="AB36" s="327" t="s">
        <v>225</v>
      </c>
      <c r="AC36" s="29"/>
    </row>
    <row r="37" spans="1:29" s="20" customFormat="1" x14ac:dyDescent="0.3">
      <c r="A37" s="42">
        <v>43500</v>
      </c>
      <c r="B37" s="43">
        <v>3.7</v>
      </c>
      <c r="C37" s="14">
        <v>3.7</v>
      </c>
      <c r="D37" s="14">
        <v>1.9</v>
      </c>
      <c r="E37" s="14">
        <v>8.1</v>
      </c>
      <c r="F37" s="14">
        <v>1.6</v>
      </c>
      <c r="G37" s="80">
        <f t="shared" si="0"/>
        <v>6.5</v>
      </c>
      <c r="H37" s="80">
        <f t="shared" si="1"/>
        <v>2.8</v>
      </c>
      <c r="I37" s="82">
        <v>3.5</v>
      </c>
      <c r="J37" s="14">
        <v>2.3481326703130798</v>
      </c>
      <c r="K37" s="14">
        <v>-4.3572326149496901</v>
      </c>
      <c r="L37" s="82">
        <v>-2.1076865162353613</v>
      </c>
      <c r="M37" s="88">
        <v>82</v>
      </c>
      <c r="N37" s="24">
        <v>60</v>
      </c>
      <c r="O37" s="84">
        <v>67.931237599206355</v>
      </c>
      <c r="P37" s="122">
        <v>1030.61436441773</v>
      </c>
      <c r="Q37" s="21">
        <v>1012.08819224682</v>
      </c>
      <c r="R37" s="70">
        <v>1024.9043089296963</v>
      </c>
      <c r="S37" s="76">
        <v>7.1</v>
      </c>
      <c r="T37" s="66">
        <v>4.4357363355970829</v>
      </c>
      <c r="U37" s="19">
        <v>1.9</v>
      </c>
      <c r="V37" s="20" t="s">
        <v>229</v>
      </c>
      <c r="W37" s="225"/>
      <c r="X37" s="16">
        <v>0</v>
      </c>
      <c r="Y37" s="17">
        <v>0</v>
      </c>
      <c r="Z37" s="18">
        <v>0</v>
      </c>
      <c r="AA37" s="46">
        <v>3</v>
      </c>
      <c r="AB37" s="327" t="s">
        <v>224</v>
      </c>
      <c r="AC37" s="29"/>
    </row>
    <row r="38" spans="1:29" s="20" customFormat="1" x14ac:dyDescent="0.3">
      <c r="A38" s="42">
        <v>43501</v>
      </c>
      <c r="B38" s="43">
        <v>0.7</v>
      </c>
      <c r="C38" s="14">
        <v>4.8</v>
      </c>
      <c r="D38" s="14">
        <v>-3</v>
      </c>
      <c r="E38" s="14">
        <v>5.5</v>
      </c>
      <c r="F38" s="14">
        <v>-5.2</v>
      </c>
      <c r="G38" s="80">
        <f t="shared" si="0"/>
        <v>10.7</v>
      </c>
      <c r="H38" s="68">
        <f t="shared" si="1"/>
        <v>-0.125</v>
      </c>
      <c r="I38" s="82">
        <v>1</v>
      </c>
      <c r="J38" s="14">
        <v>-1.7024129287098599</v>
      </c>
      <c r="K38" s="14">
        <v>-9.4467736452832103</v>
      </c>
      <c r="L38" s="82">
        <v>-4.637973963714086</v>
      </c>
      <c r="M38" s="88">
        <v>75</v>
      </c>
      <c r="N38" s="24">
        <v>56.25</v>
      </c>
      <c r="O38" s="84">
        <v>67.654947916666671</v>
      </c>
      <c r="P38" s="122">
        <v>1029.84852787707</v>
      </c>
      <c r="Q38" s="21">
        <v>1026.2194175619099</v>
      </c>
      <c r="R38" s="70">
        <v>1027.5936396144434</v>
      </c>
      <c r="S38" s="75">
        <v>4.0999999999999996</v>
      </c>
      <c r="T38" s="65">
        <v>2.4384049783646637</v>
      </c>
      <c r="U38" s="25">
        <v>1.2</v>
      </c>
      <c r="V38" s="20" t="s">
        <v>234</v>
      </c>
      <c r="W38" s="225"/>
      <c r="X38" s="16">
        <v>0</v>
      </c>
      <c r="Y38" s="17">
        <v>0</v>
      </c>
      <c r="Z38" s="18">
        <v>0</v>
      </c>
      <c r="AA38" s="46">
        <v>2</v>
      </c>
      <c r="AB38" s="327" t="s">
        <v>237</v>
      </c>
      <c r="AC38" s="29"/>
    </row>
    <row r="39" spans="1:29" s="20" customFormat="1" ht="14.4" customHeight="1" x14ac:dyDescent="0.3">
      <c r="A39" s="42">
        <v>43502</v>
      </c>
      <c r="B39" s="43">
        <v>-3.4</v>
      </c>
      <c r="C39" s="14">
        <v>4.3</v>
      </c>
      <c r="D39" s="14">
        <v>-3.1</v>
      </c>
      <c r="E39" s="14">
        <v>5.3</v>
      </c>
      <c r="F39" s="14">
        <v>-6.7</v>
      </c>
      <c r="G39" s="80">
        <f t="shared" si="0"/>
        <v>12</v>
      </c>
      <c r="H39" s="68">
        <f t="shared" si="1"/>
        <v>-1.3250000000000002</v>
      </c>
      <c r="I39" s="82">
        <v>-1.5</v>
      </c>
      <c r="J39" s="14">
        <v>-1.14388673435706</v>
      </c>
      <c r="K39" s="14">
        <v>-11.0402755482163</v>
      </c>
      <c r="L39" s="82">
        <v>-6.7093616041219839</v>
      </c>
      <c r="M39" s="88">
        <v>83</v>
      </c>
      <c r="N39" s="24">
        <v>52</v>
      </c>
      <c r="O39" s="84">
        <v>68.375310019841251</v>
      </c>
      <c r="P39" s="122">
        <v>1029.17364411975</v>
      </c>
      <c r="Q39" s="21">
        <v>1026.2485233888499</v>
      </c>
      <c r="R39" s="70">
        <v>1027.8284883473832</v>
      </c>
      <c r="S39" s="75">
        <v>6.8</v>
      </c>
      <c r="T39" s="65">
        <v>4.4000218723474998</v>
      </c>
      <c r="U39" s="25">
        <v>0.9</v>
      </c>
      <c r="V39" s="20" t="s">
        <v>227</v>
      </c>
      <c r="W39" s="225"/>
      <c r="X39" s="16">
        <v>0</v>
      </c>
      <c r="Y39" s="17">
        <v>0</v>
      </c>
      <c r="Z39" s="18">
        <v>0</v>
      </c>
      <c r="AA39" s="46">
        <v>1.5</v>
      </c>
      <c r="AB39" s="327" t="s">
        <v>225</v>
      </c>
      <c r="AC39" s="29"/>
    </row>
    <row r="40" spans="1:29" s="20" customFormat="1" x14ac:dyDescent="0.3">
      <c r="A40" s="42">
        <v>43503</v>
      </c>
      <c r="B40" s="43">
        <v>-7.8</v>
      </c>
      <c r="C40" s="14">
        <v>5.3</v>
      </c>
      <c r="D40" s="14">
        <v>1.9</v>
      </c>
      <c r="E40" s="14">
        <v>5.6</v>
      </c>
      <c r="F40" s="14">
        <v>-7.8</v>
      </c>
      <c r="G40" s="80">
        <f t="shared" si="0"/>
        <v>13.399999999999999</v>
      </c>
      <c r="H40" s="68">
        <f t="shared" si="1"/>
        <v>0.32499999999999996</v>
      </c>
      <c r="I40" s="82">
        <v>-1.1000000000000001</v>
      </c>
      <c r="J40" s="14">
        <v>-2.8902961163863798</v>
      </c>
      <c r="K40" s="14">
        <v>-12.126667240785</v>
      </c>
      <c r="L40" s="82">
        <v>-6.3468435066353344</v>
      </c>
      <c r="M40" s="88">
        <v>76</v>
      </c>
      <c r="N40" s="24">
        <v>51</v>
      </c>
      <c r="O40" s="84">
        <v>66.718750000000028</v>
      </c>
      <c r="P40" s="122">
        <v>1026.2630763055099</v>
      </c>
      <c r="Q40" s="21">
        <v>1019.5686594593</v>
      </c>
      <c r="R40" s="70">
        <v>1022.2304858568677</v>
      </c>
      <c r="S40" s="75">
        <v>8.6</v>
      </c>
      <c r="T40" s="65">
        <v>5.9625296395163749</v>
      </c>
      <c r="U40" s="25">
        <v>1.9</v>
      </c>
      <c r="V40" s="20" t="s">
        <v>230</v>
      </c>
      <c r="W40" s="225"/>
      <c r="X40" s="16">
        <v>0</v>
      </c>
      <c r="Y40" s="17">
        <v>0</v>
      </c>
      <c r="Z40" s="18">
        <v>0</v>
      </c>
      <c r="AA40" s="46">
        <v>1</v>
      </c>
      <c r="AB40" s="327" t="s">
        <v>238</v>
      </c>
      <c r="AC40" s="29"/>
    </row>
    <row r="41" spans="1:29" s="20" customFormat="1" x14ac:dyDescent="0.3">
      <c r="A41" s="42">
        <v>43504</v>
      </c>
      <c r="B41" s="43">
        <v>-1.7</v>
      </c>
      <c r="C41" s="14">
        <v>3</v>
      </c>
      <c r="D41" s="14">
        <v>1.1000000000000001</v>
      </c>
      <c r="E41" s="14">
        <v>3.3</v>
      </c>
      <c r="F41" s="14">
        <v>-4.2</v>
      </c>
      <c r="G41" s="80">
        <f t="shared" si="0"/>
        <v>7.5</v>
      </c>
      <c r="H41" s="68">
        <f t="shared" si="1"/>
        <v>0.875</v>
      </c>
      <c r="I41" s="82">
        <v>-0.1</v>
      </c>
      <c r="J41" s="14">
        <v>-2.8885497813907901</v>
      </c>
      <c r="K41" s="14">
        <v>-7.88633801268662</v>
      </c>
      <c r="L41" s="82">
        <v>-4.3994908057002498</v>
      </c>
      <c r="M41" s="88">
        <v>81</v>
      </c>
      <c r="N41" s="24">
        <v>62</v>
      </c>
      <c r="O41" s="84">
        <v>72.636656746031747</v>
      </c>
      <c r="P41" s="122">
        <v>1022.5811662119301</v>
      </c>
      <c r="Q41" s="21">
        <v>1020.06346949483</v>
      </c>
      <c r="R41" s="70">
        <v>1021.3331211291136</v>
      </c>
      <c r="S41" s="75">
        <v>2.4</v>
      </c>
      <c r="T41" s="65">
        <v>1.5187575496881334</v>
      </c>
      <c r="U41" s="25">
        <v>0.6</v>
      </c>
      <c r="V41" s="20" t="s">
        <v>256</v>
      </c>
      <c r="W41" s="225"/>
      <c r="X41" s="16">
        <v>0</v>
      </c>
      <c r="Y41" s="17">
        <v>0</v>
      </c>
      <c r="Z41" s="18">
        <v>0</v>
      </c>
      <c r="AA41" s="46">
        <v>0.5</v>
      </c>
      <c r="AB41" s="327" t="s">
        <v>239</v>
      </c>
      <c r="AC41" s="29"/>
    </row>
    <row r="42" spans="1:29" s="20" customFormat="1" x14ac:dyDescent="0.3">
      <c r="A42" s="42">
        <v>43505</v>
      </c>
      <c r="B42" s="43">
        <v>0.2</v>
      </c>
      <c r="C42" s="14">
        <v>2.8</v>
      </c>
      <c r="D42" s="14">
        <v>-0.1</v>
      </c>
      <c r="E42" s="14">
        <v>3.3</v>
      </c>
      <c r="F42" s="14">
        <v>-2.4</v>
      </c>
      <c r="G42" s="80">
        <f t="shared" si="0"/>
        <v>5.6999999999999993</v>
      </c>
      <c r="H42" s="68">
        <f t="shared" si="1"/>
        <v>0.7</v>
      </c>
      <c r="I42" s="82">
        <v>0.7</v>
      </c>
      <c r="J42" s="14">
        <v>-2.5086027486053601</v>
      </c>
      <c r="K42" s="14">
        <v>-6.1022680315235203</v>
      </c>
      <c r="L42" s="82">
        <v>-3.7640956927997515</v>
      </c>
      <c r="M42" s="88">
        <v>81</v>
      </c>
      <c r="N42" s="24">
        <v>62.428571428571402</v>
      </c>
      <c r="O42" s="84">
        <v>72.629030257936492</v>
      </c>
      <c r="P42" s="122">
        <v>1021.05308701075</v>
      </c>
      <c r="Q42" s="21">
        <v>1017.51664408441</v>
      </c>
      <c r="R42" s="70">
        <v>1019.0363589773793</v>
      </c>
      <c r="S42" s="75">
        <v>9.5</v>
      </c>
      <c r="T42" s="65">
        <v>5.8000288317308062</v>
      </c>
      <c r="U42" s="25">
        <v>2.2000000000000002</v>
      </c>
      <c r="V42" s="20" t="s">
        <v>226</v>
      </c>
      <c r="W42" s="225"/>
      <c r="X42" s="16">
        <v>0</v>
      </c>
      <c r="Y42" s="17">
        <v>0</v>
      </c>
      <c r="Z42" s="18">
        <v>0</v>
      </c>
      <c r="AA42" s="46">
        <v>0</v>
      </c>
      <c r="AB42" s="327" t="s">
        <v>239</v>
      </c>
      <c r="AC42" s="29"/>
    </row>
    <row r="43" spans="1:29" s="20" customFormat="1" x14ac:dyDescent="0.3">
      <c r="A43" s="42">
        <v>43506</v>
      </c>
      <c r="B43" s="43">
        <v>-1.5</v>
      </c>
      <c r="C43" s="14">
        <v>2.9</v>
      </c>
      <c r="D43" s="14">
        <v>3.3</v>
      </c>
      <c r="E43" s="14">
        <v>4.4000000000000004</v>
      </c>
      <c r="F43" s="14">
        <v>-3.1</v>
      </c>
      <c r="G43" s="80">
        <f t="shared" si="0"/>
        <v>7.5</v>
      </c>
      <c r="H43" s="68">
        <f t="shared" si="1"/>
        <v>2</v>
      </c>
      <c r="I43" s="82">
        <v>1.4</v>
      </c>
      <c r="J43" s="14">
        <v>-1.3753600766470999</v>
      </c>
      <c r="K43" s="14">
        <v>-6.0540345442339101</v>
      </c>
      <c r="L43" s="82">
        <v>-3.141089931623664</v>
      </c>
      <c r="M43" s="88">
        <v>83</v>
      </c>
      <c r="N43" s="24">
        <v>62</v>
      </c>
      <c r="O43" s="84">
        <v>71.180431547619065</v>
      </c>
      <c r="P43" s="122">
        <v>1020.0489162707401</v>
      </c>
      <c r="Q43" s="21">
        <v>1004.30189471293</v>
      </c>
      <c r="R43" s="70">
        <v>1014.3320560681958</v>
      </c>
      <c r="S43" s="75">
        <v>12.2</v>
      </c>
      <c r="T43" s="65">
        <v>7.4928943897606253</v>
      </c>
      <c r="U43" s="25">
        <v>3.3</v>
      </c>
      <c r="V43" s="221" t="s">
        <v>230</v>
      </c>
      <c r="W43" s="225" t="s">
        <v>240</v>
      </c>
      <c r="X43" s="16">
        <v>2.4</v>
      </c>
      <c r="Y43" s="17">
        <v>4.3</v>
      </c>
      <c r="Z43" s="18">
        <v>0</v>
      </c>
      <c r="AA43" s="46">
        <v>0</v>
      </c>
      <c r="AB43" s="327" t="s">
        <v>241</v>
      </c>
      <c r="AC43" s="29"/>
    </row>
    <row r="44" spans="1:29" s="20" customFormat="1" x14ac:dyDescent="0.3">
      <c r="A44" s="42">
        <v>43507</v>
      </c>
      <c r="B44" s="43">
        <v>1.6</v>
      </c>
      <c r="C44" s="14">
        <v>3.7</v>
      </c>
      <c r="D44" s="14">
        <v>3.2</v>
      </c>
      <c r="E44" s="14">
        <v>4.2</v>
      </c>
      <c r="F44" s="14">
        <v>1.5</v>
      </c>
      <c r="G44" s="80">
        <f t="shared" si="0"/>
        <v>2.7</v>
      </c>
      <c r="H44" s="68">
        <f t="shared" si="1"/>
        <v>2.9250000000000003</v>
      </c>
      <c r="I44" s="82">
        <v>2.5</v>
      </c>
      <c r="J44" s="14">
        <v>2.0199197191126599</v>
      </c>
      <c r="K44" s="14">
        <v>-2.8457703222100599</v>
      </c>
      <c r="L44" s="82">
        <v>-0.31045608356141818</v>
      </c>
      <c r="M44" s="88">
        <v>86</v>
      </c>
      <c r="N44" s="24">
        <v>65.875</v>
      </c>
      <c r="O44" s="84">
        <v>81.763144841269821</v>
      </c>
      <c r="P44" s="122">
        <v>1011.4733007911</v>
      </c>
      <c r="Q44" s="21">
        <v>1001.31830350288</v>
      </c>
      <c r="R44" s="70">
        <v>1005.1495647028371</v>
      </c>
      <c r="S44" s="75">
        <v>8.5</v>
      </c>
      <c r="T44" s="65">
        <v>4.3785931943977641</v>
      </c>
      <c r="U44" s="25">
        <v>1.2</v>
      </c>
      <c r="V44" s="223" t="s">
        <v>231</v>
      </c>
      <c r="W44" s="225" t="s">
        <v>240</v>
      </c>
      <c r="X44" s="16">
        <v>1.2</v>
      </c>
      <c r="Y44" s="17">
        <v>0.7</v>
      </c>
      <c r="Z44" s="18">
        <v>0</v>
      </c>
      <c r="AA44" s="46">
        <v>0</v>
      </c>
      <c r="AB44" s="327" t="s">
        <v>242</v>
      </c>
      <c r="AC44" s="29"/>
    </row>
    <row r="45" spans="1:29" s="20" customFormat="1" ht="28.8" x14ac:dyDescent="0.3">
      <c r="A45" s="42">
        <v>43508</v>
      </c>
      <c r="B45" s="43">
        <v>2.6</v>
      </c>
      <c r="C45" s="14">
        <v>4.4000000000000004</v>
      </c>
      <c r="D45" s="14">
        <v>-0.5</v>
      </c>
      <c r="E45" s="14">
        <v>5.6</v>
      </c>
      <c r="F45" s="14">
        <v>-1.4</v>
      </c>
      <c r="G45" s="80">
        <f t="shared" si="0"/>
        <v>7</v>
      </c>
      <c r="H45" s="68">
        <f t="shared" si="1"/>
        <v>1.5</v>
      </c>
      <c r="I45" s="82">
        <v>2.2000000000000002</v>
      </c>
      <c r="J45" s="14">
        <v>-1.4480848801547701</v>
      </c>
      <c r="K45" s="14">
        <v>-5.8589874588003097</v>
      </c>
      <c r="L45" s="82">
        <v>-3.639851597985643</v>
      </c>
      <c r="M45" s="88">
        <v>80</v>
      </c>
      <c r="N45" s="24">
        <v>50</v>
      </c>
      <c r="O45" s="84">
        <v>66.55778769841271</v>
      </c>
      <c r="P45" s="122">
        <v>1026.9616152282799</v>
      </c>
      <c r="Q45" s="21">
        <v>1011.47693920954</v>
      </c>
      <c r="R45" s="70">
        <v>1018.3103405561451</v>
      </c>
      <c r="S45" s="75">
        <v>13.3</v>
      </c>
      <c r="T45" s="65">
        <v>7.4786086044607902</v>
      </c>
      <c r="U45" s="25">
        <v>3.6</v>
      </c>
      <c r="V45" s="223" t="s">
        <v>227</v>
      </c>
      <c r="W45" s="225" t="s">
        <v>206</v>
      </c>
      <c r="X45" s="16">
        <v>1.2</v>
      </c>
      <c r="Y45" s="17">
        <v>3</v>
      </c>
      <c r="Z45" s="18">
        <v>4</v>
      </c>
      <c r="AA45" s="46">
        <v>1</v>
      </c>
      <c r="AB45" s="327" t="s">
        <v>244</v>
      </c>
      <c r="AC45" s="29"/>
    </row>
    <row r="46" spans="1:29" s="20" customFormat="1" x14ac:dyDescent="0.3">
      <c r="A46" s="42">
        <v>43509</v>
      </c>
      <c r="B46" s="43">
        <v>-3.2</v>
      </c>
      <c r="C46" s="14">
        <v>3.5</v>
      </c>
      <c r="D46" s="14">
        <v>1.3</v>
      </c>
      <c r="E46" s="14">
        <v>3.9</v>
      </c>
      <c r="F46" s="14">
        <v>-4.2</v>
      </c>
      <c r="G46" s="80">
        <f t="shared" si="0"/>
        <v>8.1</v>
      </c>
      <c r="H46" s="68">
        <f t="shared" si="1"/>
        <v>0.72499999999999998</v>
      </c>
      <c r="I46" s="82">
        <v>0.6</v>
      </c>
      <c r="J46" s="14">
        <v>-3.5740875494906601</v>
      </c>
      <c r="K46" s="14">
        <v>-8.5244678090617594</v>
      </c>
      <c r="L46" s="82">
        <v>-5.0608084850746042</v>
      </c>
      <c r="M46" s="88">
        <v>78</v>
      </c>
      <c r="N46" s="24">
        <v>51</v>
      </c>
      <c r="O46" s="84">
        <v>66.243861607142875</v>
      </c>
      <c r="P46" s="122">
        <v>1031.3001593471599</v>
      </c>
      <c r="Q46" s="21">
        <v>1027.0052738608899</v>
      </c>
      <c r="R46" s="70">
        <v>1029.9065413427913</v>
      </c>
      <c r="S46" s="75">
        <v>4.0999999999999996</v>
      </c>
      <c r="T46" s="65">
        <v>2.6553703426058246</v>
      </c>
      <c r="U46" s="25">
        <v>0.8</v>
      </c>
      <c r="V46" s="223" t="s">
        <v>231</v>
      </c>
      <c r="W46" s="226"/>
      <c r="X46" s="26">
        <v>0</v>
      </c>
      <c r="Y46" s="27">
        <v>0</v>
      </c>
      <c r="Z46" s="28">
        <v>0</v>
      </c>
      <c r="AA46" s="30">
        <v>4</v>
      </c>
      <c r="AB46" s="328" t="s">
        <v>243</v>
      </c>
      <c r="AC46" s="29"/>
    </row>
    <row r="47" spans="1:29" s="20" customFormat="1" x14ac:dyDescent="0.3">
      <c r="A47" s="42">
        <v>43510</v>
      </c>
      <c r="B47" s="43">
        <v>0.8</v>
      </c>
      <c r="C47" s="14">
        <v>7.7</v>
      </c>
      <c r="D47" s="14">
        <v>6</v>
      </c>
      <c r="E47" s="14">
        <v>8.1</v>
      </c>
      <c r="F47" s="14">
        <v>0</v>
      </c>
      <c r="G47" s="80">
        <f t="shared" si="0"/>
        <v>8.1</v>
      </c>
      <c r="H47" s="68">
        <f t="shared" si="1"/>
        <v>5.125</v>
      </c>
      <c r="I47" s="82">
        <v>4.3</v>
      </c>
      <c r="J47" s="14">
        <v>1.4700662588729001</v>
      </c>
      <c r="K47" s="14">
        <v>-4.2857196198549596</v>
      </c>
      <c r="L47" s="82">
        <v>-0.84384451381129355</v>
      </c>
      <c r="M47" s="88">
        <v>78.714285714285694</v>
      </c>
      <c r="N47" s="24">
        <v>55</v>
      </c>
      <c r="O47" s="84">
        <v>68.691530257936492</v>
      </c>
      <c r="P47" s="122">
        <v>1032.2588142662701</v>
      </c>
      <c r="Q47" s="21">
        <v>1030.2050696061101</v>
      </c>
      <c r="R47" s="70">
        <v>1031.2937351890755</v>
      </c>
      <c r="S47" s="75">
        <v>8.5</v>
      </c>
      <c r="T47" s="65">
        <v>5.6071707301831113</v>
      </c>
      <c r="U47" s="25">
        <v>1.6</v>
      </c>
      <c r="V47" s="223" t="s">
        <v>227</v>
      </c>
      <c r="W47" s="226"/>
      <c r="X47" s="26">
        <v>0</v>
      </c>
      <c r="Y47" s="27">
        <v>0</v>
      </c>
      <c r="Z47" s="28">
        <v>0</v>
      </c>
      <c r="AA47" s="30">
        <v>1.5</v>
      </c>
      <c r="AB47" s="328" t="s">
        <v>239</v>
      </c>
      <c r="AC47" s="29"/>
    </row>
    <row r="48" spans="1:29" s="20" customFormat="1" x14ac:dyDescent="0.3">
      <c r="A48" s="42">
        <v>43511</v>
      </c>
      <c r="B48" s="43">
        <v>4</v>
      </c>
      <c r="C48" s="14">
        <v>9.6</v>
      </c>
      <c r="D48" s="14">
        <v>-0.5</v>
      </c>
      <c r="E48" s="14">
        <v>10.5</v>
      </c>
      <c r="F48" s="14">
        <v>-2.1</v>
      </c>
      <c r="G48" s="80">
        <f t="shared" si="0"/>
        <v>12.6</v>
      </c>
      <c r="H48" s="68">
        <f t="shared" si="1"/>
        <v>3.15</v>
      </c>
      <c r="I48" s="82">
        <v>4.7</v>
      </c>
      <c r="J48" s="14">
        <v>3.1978590945787699</v>
      </c>
      <c r="K48" s="14">
        <v>-5.9262696885132504</v>
      </c>
      <c r="L48" s="82">
        <v>-0.61005973842698691</v>
      </c>
      <c r="M48" s="88">
        <v>80</v>
      </c>
      <c r="N48" s="24">
        <v>52</v>
      </c>
      <c r="O48" s="84">
        <v>70.783591764107769</v>
      </c>
      <c r="P48" s="122">
        <v>1033.7577295137</v>
      </c>
      <c r="Q48" s="21">
        <v>1031.16736628481</v>
      </c>
      <c r="R48" s="249">
        <v>1032.180433055275</v>
      </c>
      <c r="S48" s="75">
        <v>5.0999999999999996</v>
      </c>
      <c r="T48" s="65">
        <v>2.8428712746660834</v>
      </c>
      <c r="U48" s="25">
        <v>0.9</v>
      </c>
      <c r="V48" s="223" t="s">
        <v>227</v>
      </c>
      <c r="W48" s="226"/>
      <c r="X48" s="26">
        <v>0</v>
      </c>
      <c r="Y48" s="27">
        <v>0</v>
      </c>
      <c r="Z48" s="28">
        <v>0</v>
      </c>
      <c r="AA48" s="30">
        <v>0</v>
      </c>
      <c r="AB48" s="328" t="s">
        <v>239</v>
      </c>
      <c r="AC48" s="29"/>
    </row>
    <row r="49" spans="1:29" s="20" customFormat="1" x14ac:dyDescent="0.3">
      <c r="A49" s="42">
        <v>43512</v>
      </c>
      <c r="B49" s="43">
        <v>-0.8</v>
      </c>
      <c r="C49" s="14">
        <v>8.4</v>
      </c>
      <c r="D49" s="14">
        <v>-0.1</v>
      </c>
      <c r="E49" s="14">
        <v>9</v>
      </c>
      <c r="F49" s="14">
        <v>-3</v>
      </c>
      <c r="G49" s="80">
        <f t="shared" si="0"/>
        <v>12</v>
      </c>
      <c r="H49" s="68">
        <f>(B49+C49+2*D49)/4</f>
        <v>1.85</v>
      </c>
      <c r="I49" s="82">
        <v>0.9</v>
      </c>
      <c r="J49" s="14">
        <v>2.2001911915479799</v>
      </c>
      <c r="K49" s="14">
        <v>-6.1209837450410403</v>
      </c>
      <c r="L49" s="82">
        <v>-2.8859895324803859</v>
      </c>
      <c r="M49" s="88">
        <v>87</v>
      </c>
      <c r="N49" s="24">
        <v>56</v>
      </c>
      <c r="O49" s="84">
        <v>76.255704365079353</v>
      </c>
      <c r="P49" s="122">
        <v>1031.96776186549</v>
      </c>
      <c r="Q49" s="21">
        <v>1028.83893030376</v>
      </c>
      <c r="R49" s="249">
        <v>1030.3547407104866</v>
      </c>
      <c r="S49" s="75">
        <v>3.7</v>
      </c>
      <c r="T49" s="65">
        <v>2.7000134216677929</v>
      </c>
      <c r="U49" s="25">
        <v>0.7</v>
      </c>
      <c r="V49" s="223" t="s">
        <v>254</v>
      </c>
      <c r="W49" s="226"/>
      <c r="X49" s="26">
        <v>0</v>
      </c>
      <c r="Y49" s="27">
        <v>0</v>
      </c>
      <c r="Z49" s="28">
        <v>0</v>
      </c>
      <c r="AA49" s="30">
        <v>0</v>
      </c>
      <c r="AB49" s="328" t="s">
        <v>245</v>
      </c>
      <c r="AC49" s="29"/>
    </row>
    <row r="50" spans="1:29" s="20" customFormat="1" x14ac:dyDescent="0.3">
      <c r="A50" s="42">
        <v>43513</v>
      </c>
      <c r="B50" s="43">
        <v>-1.7</v>
      </c>
      <c r="C50" s="14">
        <v>7.7</v>
      </c>
      <c r="D50" s="14">
        <v>-0.7</v>
      </c>
      <c r="E50" s="14">
        <v>9.3000000000000007</v>
      </c>
      <c r="F50" s="14">
        <v>-2.2999999999999998</v>
      </c>
      <c r="G50" s="80">
        <f t="shared" si="0"/>
        <v>11.600000000000001</v>
      </c>
      <c r="H50" s="68">
        <f t="shared" si="1"/>
        <v>1.1499999999999999</v>
      </c>
      <c r="I50" s="82">
        <v>1.6</v>
      </c>
      <c r="J50" s="14">
        <v>1.8992813853886501</v>
      </c>
      <c r="K50" s="14">
        <v>-5.2740880597412403</v>
      </c>
      <c r="L50" s="82">
        <v>-2.1160407972912139</v>
      </c>
      <c r="M50" s="88">
        <v>85</v>
      </c>
      <c r="N50" s="24">
        <v>58</v>
      </c>
      <c r="O50" s="84">
        <v>76.643477182539698</v>
      </c>
      <c r="P50" s="21">
        <v>1029.55201579971</v>
      </c>
      <c r="Q50" s="21">
        <v>1026.0593354620501</v>
      </c>
      <c r="R50" s="249">
        <v>1027.9307209352928</v>
      </c>
      <c r="S50" s="75">
        <v>4.0999999999999996</v>
      </c>
      <c r="T50" s="65">
        <v>3.0857296247631947</v>
      </c>
      <c r="U50" s="25">
        <v>0.7</v>
      </c>
      <c r="V50" s="223" t="s">
        <v>227</v>
      </c>
      <c r="W50" s="226"/>
      <c r="X50" s="26">
        <v>0</v>
      </c>
      <c r="Y50" s="27">
        <v>0</v>
      </c>
      <c r="Z50" s="28">
        <v>0</v>
      </c>
      <c r="AA50" s="30">
        <v>0</v>
      </c>
      <c r="AB50" s="328" t="s">
        <v>246</v>
      </c>
      <c r="AC50" s="29"/>
    </row>
    <row r="51" spans="1:29" s="20" customFormat="1" x14ac:dyDescent="0.3">
      <c r="A51" s="42">
        <v>43514</v>
      </c>
      <c r="B51" s="43">
        <v>-0.1</v>
      </c>
      <c r="C51" s="14">
        <v>6.8</v>
      </c>
      <c r="D51" s="14">
        <v>-0.3</v>
      </c>
      <c r="E51" s="14">
        <v>8.6</v>
      </c>
      <c r="F51" s="14">
        <v>-0.5</v>
      </c>
      <c r="G51" s="80">
        <f t="shared" si="0"/>
        <v>9.1</v>
      </c>
      <c r="H51" s="68">
        <f t="shared" si="1"/>
        <v>1.5250000000000001</v>
      </c>
      <c r="I51" s="82">
        <v>2</v>
      </c>
      <c r="J51" s="14">
        <v>3.0354224105879002</v>
      </c>
      <c r="K51" s="14">
        <v>-4.55634483131543</v>
      </c>
      <c r="L51" s="82">
        <v>-1.2664056521591589</v>
      </c>
      <c r="M51" s="88">
        <v>88</v>
      </c>
      <c r="N51" s="24">
        <v>62</v>
      </c>
      <c r="O51" s="84">
        <v>79.364273313492077</v>
      </c>
      <c r="P51" s="122">
        <v>1026.84519219609</v>
      </c>
      <c r="Q51" s="21">
        <v>1022.6684847709</v>
      </c>
      <c r="R51" s="249">
        <v>1024.6998051486762</v>
      </c>
      <c r="S51" s="75">
        <v>3.4</v>
      </c>
      <c r="T51" s="65">
        <v>1.9785812640263971</v>
      </c>
      <c r="U51" s="25">
        <v>0.4</v>
      </c>
      <c r="V51" s="223" t="s">
        <v>227</v>
      </c>
      <c r="W51" s="226"/>
      <c r="X51" s="26">
        <v>0</v>
      </c>
      <c r="Y51" s="27">
        <v>0</v>
      </c>
      <c r="Z51" s="28">
        <v>0</v>
      </c>
      <c r="AA51" s="30">
        <v>0</v>
      </c>
      <c r="AB51" s="328" t="s">
        <v>246</v>
      </c>
      <c r="AC51" s="29"/>
    </row>
    <row r="52" spans="1:29" s="20" customFormat="1" x14ac:dyDescent="0.3">
      <c r="A52" s="42">
        <v>43515</v>
      </c>
      <c r="B52" s="43">
        <v>-0.1</v>
      </c>
      <c r="C52" s="14">
        <v>10.6</v>
      </c>
      <c r="D52" s="14">
        <v>0.7</v>
      </c>
      <c r="E52" s="14">
        <v>11.5</v>
      </c>
      <c r="F52" s="14">
        <v>-1.8</v>
      </c>
      <c r="G52" s="80">
        <f t="shared" si="0"/>
        <v>13.3</v>
      </c>
      <c r="H52" s="68">
        <f t="shared" si="1"/>
        <v>2.9750000000000001</v>
      </c>
      <c r="I52" s="82">
        <v>4.9000000000000004</v>
      </c>
      <c r="J52" s="14">
        <v>3.3127741956703001</v>
      </c>
      <c r="K52" s="14">
        <v>-4.9527655946511997</v>
      </c>
      <c r="L52" s="82">
        <v>-1.2792287102545479</v>
      </c>
      <c r="M52" s="88">
        <v>88</v>
      </c>
      <c r="N52" s="24">
        <v>50</v>
      </c>
      <c r="O52" s="84">
        <v>74.041542658730194</v>
      </c>
      <c r="P52" s="122">
        <v>1022.74306936663</v>
      </c>
      <c r="Q52" s="21">
        <v>1016.33782011655</v>
      </c>
      <c r="R52" s="70">
        <v>1019.0694823360058</v>
      </c>
      <c r="S52" s="75">
        <v>8.9</v>
      </c>
      <c r="T52" s="65">
        <v>6.1643163568764718</v>
      </c>
      <c r="U52" s="25">
        <v>1.4</v>
      </c>
      <c r="V52" s="223" t="s">
        <v>255</v>
      </c>
      <c r="W52" s="226"/>
      <c r="X52" s="26">
        <v>0</v>
      </c>
      <c r="Y52" s="27">
        <v>0</v>
      </c>
      <c r="Z52" s="28">
        <v>0</v>
      </c>
      <c r="AA52" s="30">
        <v>0</v>
      </c>
      <c r="AB52" s="328" t="s">
        <v>246</v>
      </c>
      <c r="AC52" s="29"/>
    </row>
    <row r="53" spans="1:29" s="20" customFormat="1" x14ac:dyDescent="0.3">
      <c r="A53" s="42">
        <v>43516</v>
      </c>
      <c r="B53" s="43">
        <v>-1</v>
      </c>
      <c r="C53" s="14">
        <v>10.9</v>
      </c>
      <c r="D53" s="14">
        <v>5.8</v>
      </c>
      <c r="E53" s="14">
        <v>11.1</v>
      </c>
      <c r="F53" s="14">
        <v>-1.7</v>
      </c>
      <c r="G53" s="80">
        <f t="shared" si="0"/>
        <v>12.799999999999999</v>
      </c>
      <c r="H53" s="68">
        <f t="shared" si="1"/>
        <v>5.375</v>
      </c>
      <c r="I53" s="82">
        <v>3.7</v>
      </c>
      <c r="J53" s="14">
        <v>3.9217863973393299</v>
      </c>
      <c r="K53" s="14">
        <v>-4.2017709979912796</v>
      </c>
      <c r="L53" s="82">
        <v>-2.0491722524868377</v>
      </c>
      <c r="M53" s="88">
        <v>86</v>
      </c>
      <c r="N53" s="24">
        <v>39</v>
      </c>
      <c r="O53" s="84">
        <v>67.255890376984098</v>
      </c>
      <c r="P53" s="122">
        <v>1023.16328950272</v>
      </c>
      <c r="Q53" s="21">
        <v>1017.2164810197499</v>
      </c>
      <c r="R53" s="70">
        <v>1019.9767131964522</v>
      </c>
      <c r="S53" s="75">
        <v>8.5</v>
      </c>
      <c r="T53" s="65">
        <v>5.1527041853322775</v>
      </c>
      <c r="U53" s="25">
        <v>1.1000000000000001</v>
      </c>
      <c r="V53" s="223" t="s">
        <v>234</v>
      </c>
      <c r="W53" s="226"/>
      <c r="X53" s="26">
        <v>0</v>
      </c>
      <c r="Y53" s="27">
        <v>0</v>
      </c>
      <c r="Z53" s="28">
        <v>0</v>
      </c>
      <c r="AA53" s="30">
        <v>0</v>
      </c>
      <c r="AB53" s="328" t="s">
        <v>247</v>
      </c>
      <c r="AC53" s="29"/>
    </row>
    <row r="54" spans="1:29" s="20" customFormat="1" x14ac:dyDescent="0.3">
      <c r="A54" s="42">
        <v>43517</v>
      </c>
      <c r="B54" s="43">
        <v>3.2</v>
      </c>
      <c r="C54" s="14">
        <v>9.3000000000000007</v>
      </c>
      <c r="D54" s="14">
        <v>5.3</v>
      </c>
      <c r="E54" s="14">
        <v>9.9</v>
      </c>
      <c r="F54" s="14">
        <v>3</v>
      </c>
      <c r="G54" s="80">
        <f t="shared" si="0"/>
        <v>6.9</v>
      </c>
      <c r="H54" s="68">
        <f t="shared" si="1"/>
        <v>5.7750000000000004</v>
      </c>
      <c r="I54" s="82">
        <v>6.2</v>
      </c>
      <c r="J54" s="14">
        <v>1.696991176739</v>
      </c>
      <c r="K54" s="14">
        <v>-4.0215925018433198</v>
      </c>
      <c r="L54" s="82">
        <v>-1.7673260471588099</v>
      </c>
      <c r="M54" s="88">
        <v>83</v>
      </c>
      <c r="N54" s="24">
        <v>41</v>
      </c>
      <c r="O54" s="84">
        <v>58.379526289682545</v>
      </c>
      <c r="P54" s="122">
        <v>1024.86599339964</v>
      </c>
      <c r="Q54" s="21">
        <v>1018.98652890936</v>
      </c>
      <c r="R54" s="70">
        <v>1022.5594771895464</v>
      </c>
      <c r="S54" s="75">
        <v>5.8</v>
      </c>
      <c r="T54" s="65">
        <v>3.8393047993292084</v>
      </c>
      <c r="U54" s="25">
        <v>1.1000000000000001</v>
      </c>
      <c r="V54" s="223" t="s">
        <v>236</v>
      </c>
      <c r="W54" s="226" t="s">
        <v>240</v>
      </c>
      <c r="X54" s="26">
        <v>2.4</v>
      </c>
      <c r="Y54" s="27">
        <v>4.9000000000000004</v>
      </c>
      <c r="Z54" s="28">
        <v>0</v>
      </c>
      <c r="AA54" s="30">
        <v>0</v>
      </c>
      <c r="AB54" s="328" t="s">
        <v>248</v>
      </c>
      <c r="AC54" s="29"/>
    </row>
    <row r="55" spans="1:29" s="20" customFormat="1" x14ac:dyDescent="0.3">
      <c r="A55" s="42">
        <v>43518</v>
      </c>
      <c r="B55" s="43">
        <v>3.7</v>
      </c>
      <c r="C55" s="14">
        <v>0.7</v>
      </c>
      <c r="D55" s="14">
        <v>-3.8</v>
      </c>
      <c r="E55" s="14">
        <v>4.3</v>
      </c>
      <c r="F55" s="14">
        <v>-4.3</v>
      </c>
      <c r="G55" s="80">
        <f t="shared" si="0"/>
        <v>8.6</v>
      </c>
      <c r="H55" s="68">
        <f t="shared" si="1"/>
        <v>-0.79999999999999982</v>
      </c>
      <c r="I55" s="82">
        <v>0.4</v>
      </c>
      <c r="J55" s="14">
        <v>1.8304434439508801</v>
      </c>
      <c r="K55" s="14">
        <v>-15.6846999170352</v>
      </c>
      <c r="L55" s="82">
        <v>-7.498779161998268</v>
      </c>
      <c r="M55" s="88">
        <v>86</v>
      </c>
      <c r="N55" s="24">
        <v>35</v>
      </c>
      <c r="O55" s="84">
        <v>59.303819444444457</v>
      </c>
      <c r="P55" s="122">
        <v>1038.85107360794</v>
      </c>
      <c r="Q55" s="21">
        <v>1017.09459655308</v>
      </c>
      <c r="R55" s="70">
        <v>1027.0714934822715</v>
      </c>
      <c r="S55" s="75">
        <v>14.6</v>
      </c>
      <c r="T55" s="65">
        <v>9.1643312698406945</v>
      </c>
      <c r="U55" s="25">
        <v>3.6</v>
      </c>
      <c r="V55" s="223" t="s">
        <v>229</v>
      </c>
      <c r="W55" s="226" t="s">
        <v>211</v>
      </c>
      <c r="X55" s="26">
        <v>0</v>
      </c>
      <c r="Y55" s="27">
        <v>0</v>
      </c>
      <c r="Z55" s="28">
        <v>0</v>
      </c>
      <c r="AA55" s="30">
        <v>0</v>
      </c>
      <c r="AB55" s="328" t="s">
        <v>249</v>
      </c>
      <c r="AC55" s="29"/>
    </row>
    <row r="56" spans="1:29" s="20" customFormat="1" x14ac:dyDescent="0.3">
      <c r="A56" s="42">
        <v>43519</v>
      </c>
      <c r="B56" s="43">
        <v>-6.3</v>
      </c>
      <c r="C56" s="14">
        <v>0.8</v>
      </c>
      <c r="D56" s="14">
        <v>-3.3</v>
      </c>
      <c r="E56" s="14">
        <v>1.6</v>
      </c>
      <c r="F56" s="14">
        <v>-6.3</v>
      </c>
      <c r="G56" s="80">
        <f t="shared" si="0"/>
        <v>7.9</v>
      </c>
      <c r="H56" s="68">
        <f t="shared" si="1"/>
        <v>-3.0249999999999999</v>
      </c>
      <c r="I56" s="82">
        <v>-2.2999999999999998</v>
      </c>
      <c r="J56" s="14">
        <v>-10.415330107394301</v>
      </c>
      <c r="K56" s="14">
        <v>-15.4525100230454</v>
      </c>
      <c r="L56" s="82">
        <v>-13.008025680934399</v>
      </c>
      <c r="M56" s="88">
        <v>60</v>
      </c>
      <c r="N56" s="24">
        <v>38</v>
      </c>
      <c r="O56" s="84">
        <v>45.72662450396826</v>
      </c>
      <c r="P56" s="122">
        <v>1044.4000000000001</v>
      </c>
      <c r="Q56" s="21">
        <v>1038.8219690415799</v>
      </c>
      <c r="R56" s="70">
        <v>1040.9606219386192</v>
      </c>
      <c r="S56" s="75">
        <v>10.9</v>
      </c>
      <c r="T56" s="65">
        <v>7.2428931470135973</v>
      </c>
      <c r="U56" s="25">
        <v>3.1</v>
      </c>
      <c r="V56" s="20" t="s">
        <v>229</v>
      </c>
      <c r="W56" s="226"/>
      <c r="X56" s="26">
        <v>0</v>
      </c>
      <c r="Y56" s="27">
        <v>0</v>
      </c>
      <c r="Z56" s="28">
        <v>0</v>
      </c>
      <c r="AA56" s="30">
        <v>0</v>
      </c>
      <c r="AB56" s="328" t="s">
        <v>250</v>
      </c>
      <c r="AC56" s="29"/>
    </row>
    <row r="57" spans="1:29" s="20" customFormat="1" x14ac:dyDescent="0.3">
      <c r="A57" s="42">
        <v>43520</v>
      </c>
      <c r="B57" s="43">
        <v>-4.0999999999999996</v>
      </c>
      <c r="C57" s="14">
        <v>3.8</v>
      </c>
      <c r="D57" s="14">
        <v>-0.8</v>
      </c>
      <c r="E57" s="14">
        <v>2.6</v>
      </c>
      <c r="F57" s="14">
        <v>-4.3</v>
      </c>
      <c r="G57" s="80">
        <f t="shared" si="0"/>
        <v>6.9</v>
      </c>
      <c r="H57" s="68">
        <f t="shared" si="1"/>
        <v>-0.47499999999999998</v>
      </c>
      <c r="I57" s="82">
        <v>-0.9</v>
      </c>
      <c r="J57" s="14">
        <v>-8.2441946751996298</v>
      </c>
      <c r="K57" s="14">
        <v>-11.7461875614934</v>
      </c>
      <c r="L57" s="82">
        <v>-10.027466776904152</v>
      </c>
      <c r="M57" s="88">
        <v>65</v>
      </c>
      <c r="N57" s="24">
        <v>35.25</v>
      </c>
      <c r="O57" s="84">
        <v>50.488095238095241</v>
      </c>
      <c r="P57" s="122">
        <v>1040.6701037115699</v>
      </c>
      <c r="Q57" s="21">
        <v>1035.2857420236601</v>
      </c>
      <c r="R57" s="70">
        <v>1037.0752057682303</v>
      </c>
      <c r="S57" s="75">
        <v>4.4000000000000004</v>
      </c>
      <c r="T57" s="65">
        <v>2.5785842466192403</v>
      </c>
      <c r="U57" s="25">
        <v>0.6</v>
      </c>
      <c r="V57" s="223" t="s">
        <v>236</v>
      </c>
      <c r="W57" s="226"/>
      <c r="X57" s="26">
        <v>0</v>
      </c>
      <c r="Y57" s="27">
        <v>0</v>
      </c>
      <c r="Z57" s="28">
        <v>0</v>
      </c>
      <c r="AA57" s="30">
        <v>0</v>
      </c>
      <c r="AB57" s="328" t="s">
        <v>248</v>
      </c>
      <c r="AC57" s="29"/>
    </row>
    <row r="58" spans="1:29" s="20" customFormat="1" x14ac:dyDescent="0.3">
      <c r="A58" s="42">
        <v>43521</v>
      </c>
      <c r="B58" s="43">
        <v>-3</v>
      </c>
      <c r="C58" s="14">
        <v>4</v>
      </c>
      <c r="D58" s="14">
        <v>-2.4</v>
      </c>
      <c r="E58" s="14">
        <v>5.0999999999999996</v>
      </c>
      <c r="F58" s="14">
        <v>-4.5</v>
      </c>
      <c r="G58" s="80">
        <f t="shared" si="0"/>
        <v>9.6</v>
      </c>
      <c r="H58" s="68">
        <f t="shared" si="1"/>
        <v>-0.95</v>
      </c>
      <c r="I58" s="82">
        <v>-0.1</v>
      </c>
      <c r="J58" s="14">
        <v>-6.521528716483</v>
      </c>
      <c r="K58" s="14">
        <v>-9.7726851085917001</v>
      </c>
      <c r="L58" s="82">
        <v>-8.2377045079976643</v>
      </c>
      <c r="M58" s="88">
        <v>70</v>
      </c>
      <c r="N58" s="24">
        <v>40</v>
      </c>
      <c r="O58" s="84">
        <v>55.733010912698411</v>
      </c>
      <c r="P58" s="122">
        <v>1035.72231555946</v>
      </c>
      <c r="Q58" s="21">
        <v>1028.63519126496</v>
      </c>
      <c r="R58" s="70">
        <v>1032.7789047083031</v>
      </c>
      <c r="S58" s="75">
        <v>5.4</v>
      </c>
      <c r="T58" s="65">
        <v>3.4214455793091947</v>
      </c>
      <c r="U58" s="25">
        <v>1</v>
      </c>
      <c r="V58" s="223" t="s">
        <v>226</v>
      </c>
      <c r="W58" s="226"/>
      <c r="X58" s="26">
        <v>0</v>
      </c>
      <c r="Y58" s="27">
        <v>0</v>
      </c>
      <c r="Z58" s="28">
        <v>0</v>
      </c>
      <c r="AA58" s="30">
        <v>0</v>
      </c>
      <c r="AB58" s="328" t="s">
        <v>251</v>
      </c>
      <c r="AC58" s="29"/>
    </row>
    <row r="59" spans="1:29" s="20" customFormat="1" x14ac:dyDescent="0.3">
      <c r="A59" s="42">
        <v>43522</v>
      </c>
      <c r="B59" s="43">
        <v>-3.8</v>
      </c>
      <c r="C59" s="14">
        <v>12.2</v>
      </c>
      <c r="D59" s="14">
        <v>7.6</v>
      </c>
      <c r="E59" s="14">
        <v>12.5</v>
      </c>
      <c r="F59" s="14">
        <v>-5.8</v>
      </c>
      <c r="G59" s="80">
        <f t="shared" si="0"/>
        <v>18.3</v>
      </c>
      <c r="H59" s="68">
        <f t="shared" si="1"/>
        <v>5.8999999999999995</v>
      </c>
      <c r="I59" s="82">
        <v>3.4</v>
      </c>
      <c r="J59" s="14">
        <v>4.9392822148036801E-2</v>
      </c>
      <c r="K59" s="14">
        <v>-10.201553171895201</v>
      </c>
      <c r="L59" s="82">
        <v>-4.2887913363354011</v>
      </c>
      <c r="M59" s="88">
        <v>76</v>
      </c>
      <c r="N59" s="24">
        <v>37</v>
      </c>
      <c r="O59" s="84">
        <v>57.55474950396826</v>
      </c>
      <c r="P59" s="122">
        <v>1028.64974405417</v>
      </c>
      <c r="Q59" s="21">
        <v>1020.39819344316</v>
      </c>
      <c r="R59" s="70">
        <v>1023.558640128784</v>
      </c>
      <c r="S59" s="75">
        <v>12.6</v>
      </c>
      <c r="T59" s="65">
        <v>8.0875402028660286</v>
      </c>
      <c r="U59" s="25">
        <v>2.6</v>
      </c>
      <c r="V59" s="223" t="s">
        <v>227</v>
      </c>
      <c r="W59" s="226"/>
      <c r="X59" s="26">
        <v>0</v>
      </c>
      <c r="Y59" s="27">
        <v>0</v>
      </c>
      <c r="Z59" s="28">
        <v>0</v>
      </c>
      <c r="AA59" s="30">
        <v>0</v>
      </c>
      <c r="AB59" s="328" t="s">
        <v>252</v>
      </c>
      <c r="AC59" s="29"/>
    </row>
    <row r="60" spans="1:29" s="20" customFormat="1" x14ac:dyDescent="0.3">
      <c r="A60" s="42">
        <v>43523</v>
      </c>
      <c r="B60" s="43">
        <v>3.5</v>
      </c>
      <c r="C60" s="14">
        <v>10.4</v>
      </c>
      <c r="D60" s="14">
        <v>-0.2</v>
      </c>
      <c r="E60" s="14">
        <v>11.1</v>
      </c>
      <c r="F60" s="14">
        <v>-0.6</v>
      </c>
      <c r="G60" s="80">
        <f t="shared" si="0"/>
        <v>11.7</v>
      </c>
      <c r="H60" s="68">
        <f t="shared" si="1"/>
        <v>3.375</v>
      </c>
      <c r="I60" s="82">
        <v>5.0999999999999996</v>
      </c>
      <c r="J60" s="14">
        <v>0.26686437032828902</v>
      </c>
      <c r="K60" s="14">
        <v>-5.6077634709481101</v>
      </c>
      <c r="L60" s="82">
        <v>-2.6364228443338877</v>
      </c>
      <c r="M60" s="88">
        <v>73.285714285714306</v>
      </c>
      <c r="N60" s="24">
        <v>40</v>
      </c>
      <c r="O60" s="84">
        <v>59.393911210317455</v>
      </c>
      <c r="P60" s="122">
        <v>1025.50632389358</v>
      </c>
      <c r="Q60" s="21">
        <v>1016.61433481575</v>
      </c>
      <c r="R60" s="70">
        <v>1022.3266261186394</v>
      </c>
      <c r="S60" s="75">
        <v>9.1999999999999993</v>
      </c>
      <c r="T60" s="65">
        <v>4.7393092732184723</v>
      </c>
      <c r="U60" s="25">
        <v>2.2000000000000002</v>
      </c>
      <c r="V60" s="223" t="s">
        <v>227</v>
      </c>
      <c r="W60" s="226"/>
      <c r="X60" s="26">
        <v>0</v>
      </c>
      <c r="Y60" s="27">
        <v>0</v>
      </c>
      <c r="Z60" s="28">
        <v>0</v>
      </c>
      <c r="AA60" s="30">
        <v>0</v>
      </c>
      <c r="AB60" s="328" t="s">
        <v>251</v>
      </c>
      <c r="AC60" s="29"/>
    </row>
    <row r="61" spans="1:29" s="322" customFormat="1" ht="15" thickBot="1" x14ac:dyDescent="0.35">
      <c r="A61" s="42">
        <v>43524</v>
      </c>
      <c r="B61" s="44">
        <v>-4.5</v>
      </c>
      <c r="C61" s="22">
        <v>9.1999999999999993</v>
      </c>
      <c r="D61" s="22">
        <v>1.3</v>
      </c>
      <c r="E61" s="22">
        <v>10.7</v>
      </c>
      <c r="F61" s="22">
        <v>-4.7</v>
      </c>
      <c r="G61" s="320">
        <f t="shared" si="0"/>
        <v>15.399999999999999</v>
      </c>
      <c r="H61" s="320">
        <f t="shared" si="1"/>
        <v>1.8249999999999997</v>
      </c>
      <c r="I61" s="83">
        <v>2.8</v>
      </c>
      <c r="J61" s="22">
        <v>2.0210419138698801</v>
      </c>
      <c r="K61" s="22">
        <v>-8.6151541318764497</v>
      </c>
      <c r="L61" s="83">
        <v>-3.2027514749819832</v>
      </c>
      <c r="M61" s="89">
        <v>80</v>
      </c>
      <c r="N61" s="71">
        <v>44</v>
      </c>
      <c r="O61" s="85">
        <v>64.240637400793659</v>
      </c>
      <c r="P61" s="123">
        <v>1016.62888820986</v>
      </c>
      <c r="Q61" s="72">
        <v>1004.03992211436</v>
      </c>
      <c r="R61" s="73">
        <v>1008.5970839607687</v>
      </c>
      <c r="S61" s="77">
        <v>8.5</v>
      </c>
      <c r="T61" s="67">
        <v>5.8928864361797082</v>
      </c>
      <c r="U61" s="45">
        <v>1.6</v>
      </c>
      <c r="V61" s="227" t="s">
        <v>230</v>
      </c>
      <c r="W61" s="228"/>
      <c r="X61" s="47">
        <v>0</v>
      </c>
      <c r="Y61" s="48">
        <v>0</v>
      </c>
      <c r="Z61" s="49">
        <v>0</v>
      </c>
      <c r="AA61" s="50">
        <v>0</v>
      </c>
      <c r="AB61" s="329" t="s">
        <v>253</v>
      </c>
      <c r="AC61" s="321"/>
    </row>
    <row r="62" spans="1:29" s="37" customFormat="1" x14ac:dyDescent="0.3">
      <c r="A62" s="42">
        <v>43525</v>
      </c>
      <c r="B62" s="79">
        <v>3.4</v>
      </c>
      <c r="C62" s="32">
        <v>9.4</v>
      </c>
      <c r="D62" s="32">
        <v>5.4</v>
      </c>
      <c r="E62" s="32">
        <v>10.199999999999999</v>
      </c>
      <c r="F62" s="32">
        <v>2.1</v>
      </c>
      <c r="G62" s="80">
        <f t="shared" si="0"/>
        <v>8.1</v>
      </c>
      <c r="H62" s="80">
        <f t="shared" si="1"/>
        <v>5.9</v>
      </c>
      <c r="I62" s="87">
        <v>6.2</v>
      </c>
      <c r="J62" s="32">
        <v>0.84312636185096301</v>
      </c>
      <c r="K62" s="32">
        <v>-5.6074115832048399</v>
      </c>
      <c r="L62" s="87">
        <v>-1.2073420362442828</v>
      </c>
      <c r="M62" s="119">
        <v>70</v>
      </c>
      <c r="N62" s="33">
        <v>44</v>
      </c>
      <c r="O62" s="114">
        <v>58.579923115079382</v>
      </c>
      <c r="P62" s="124">
        <v>1011.59336845965</v>
      </c>
      <c r="Q62" s="34">
        <v>1005.62630805818</v>
      </c>
      <c r="R62" s="74">
        <v>1007.5136511391086</v>
      </c>
      <c r="S62" s="116">
        <v>6.4</v>
      </c>
      <c r="T62" s="35">
        <v>3.8143046750544993</v>
      </c>
      <c r="U62" s="35">
        <v>1.7</v>
      </c>
      <c r="V62" s="221" t="s">
        <v>227</v>
      </c>
      <c r="W62" s="250"/>
      <c r="X62" s="109">
        <v>1.2</v>
      </c>
      <c r="Y62" s="110">
        <v>0.2</v>
      </c>
      <c r="Z62" s="111">
        <v>0</v>
      </c>
      <c r="AA62" s="117">
        <v>0</v>
      </c>
      <c r="AB62" s="326" t="s">
        <v>248</v>
      </c>
      <c r="AC62" s="36"/>
    </row>
    <row r="63" spans="1:29" s="20" customFormat="1" x14ac:dyDescent="0.3">
      <c r="A63" s="42">
        <v>43526</v>
      </c>
      <c r="B63" s="43">
        <v>-0.1</v>
      </c>
      <c r="C63" s="14">
        <v>7.4</v>
      </c>
      <c r="D63" s="14">
        <v>-3</v>
      </c>
      <c r="E63" s="14">
        <v>7.5</v>
      </c>
      <c r="F63" s="14">
        <v>-4.2</v>
      </c>
      <c r="G63" s="80">
        <f t="shared" si="0"/>
        <v>11.7</v>
      </c>
      <c r="H63" s="80">
        <f t="shared" si="1"/>
        <v>0.32500000000000018</v>
      </c>
      <c r="I63" s="82">
        <v>1.8</v>
      </c>
      <c r="J63" s="14">
        <v>-4.5511930250672901</v>
      </c>
      <c r="K63" s="14">
        <v>-10.179450848344199</v>
      </c>
      <c r="L63" s="82">
        <v>-7.1525361250735333</v>
      </c>
      <c r="M63" s="88">
        <v>67</v>
      </c>
      <c r="N63" s="24">
        <v>40</v>
      </c>
      <c r="O63" s="84">
        <v>52.764211566979739</v>
      </c>
      <c r="P63" s="122">
        <v>1016.8326357068</v>
      </c>
      <c r="Q63" s="21">
        <v>1011.57517639857</v>
      </c>
      <c r="R63" s="70">
        <v>1014.6621172931615</v>
      </c>
      <c r="S63" s="75">
        <v>8.1999999999999993</v>
      </c>
      <c r="T63" s="65">
        <v>4.7660951206556526</v>
      </c>
      <c r="U63" s="25">
        <v>2.1</v>
      </c>
      <c r="V63" s="223" t="s">
        <v>229</v>
      </c>
      <c r="W63" s="251"/>
      <c r="X63" s="16">
        <v>0</v>
      </c>
      <c r="Y63" s="17">
        <v>0</v>
      </c>
      <c r="Z63" s="18">
        <v>0</v>
      </c>
      <c r="AA63" s="46">
        <v>0</v>
      </c>
      <c r="AB63" s="327" t="s">
        <v>257</v>
      </c>
      <c r="AC63" s="29"/>
    </row>
    <row r="64" spans="1:29" s="20" customFormat="1" x14ac:dyDescent="0.3">
      <c r="A64" s="42">
        <v>43527</v>
      </c>
      <c r="B64" s="43">
        <v>-4.2</v>
      </c>
      <c r="C64" s="14">
        <v>9.4</v>
      </c>
      <c r="D64" s="14">
        <v>6.1</v>
      </c>
      <c r="E64" s="14">
        <v>9.5</v>
      </c>
      <c r="F64" s="14">
        <v>-5.0999999999999996</v>
      </c>
      <c r="G64" s="80">
        <f t="shared" si="0"/>
        <v>14.6</v>
      </c>
      <c r="H64" s="80">
        <f t="shared" si="1"/>
        <v>4.3499999999999996</v>
      </c>
      <c r="I64" s="82">
        <v>2.4</v>
      </c>
      <c r="J64" s="14">
        <v>-0.819628494863191</v>
      </c>
      <c r="K64" s="14">
        <v>-9.8897181850605396</v>
      </c>
      <c r="L64" s="82">
        <v>-5.1392482372425521</v>
      </c>
      <c r="M64" s="88">
        <v>77</v>
      </c>
      <c r="N64" s="24">
        <v>34</v>
      </c>
      <c r="O64" s="84">
        <v>58.911024305555543</v>
      </c>
      <c r="P64" s="122">
        <v>1017.01273380474</v>
      </c>
      <c r="Q64" s="21">
        <v>1009.4867193357099</v>
      </c>
      <c r="R64" s="70">
        <v>1014.2361360473927</v>
      </c>
      <c r="S64" s="75">
        <v>9.1999999999999993</v>
      </c>
      <c r="T64" s="65">
        <v>6.1428876789267228</v>
      </c>
      <c r="U64" s="25">
        <v>2.2000000000000002</v>
      </c>
      <c r="V64" s="223" t="s">
        <v>226</v>
      </c>
      <c r="W64" s="251"/>
      <c r="X64" s="16">
        <v>0</v>
      </c>
      <c r="Y64" s="17">
        <v>0</v>
      </c>
      <c r="Z64" s="18">
        <v>0</v>
      </c>
      <c r="AA64" s="46">
        <v>0</v>
      </c>
      <c r="AB64" s="327" t="s">
        <v>251</v>
      </c>
      <c r="AC64" s="29"/>
    </row>
    <row r="65" spans="1:29" s="20" customFormat="1" x14ac:dyDescent="0.3">
      <c r="A65" s="42">
        <v>43528</v>
      </c>
      <c r="B65" s="43">
        <v>3.6</v>
      </c>
      <c r="C65" s="14">
        <v>12.3</v>
      </c>
      <c r="D65" s="14">
        <v>11.6</v>
      </c>
      <c r="E65" s="14">
        <v>13</v>
      </c>
      <c r="F65" s="14">
        <v>0.1</v>
      </c>
      <c r="G65" s="80">
        <f t="shared" si="0"/>
        <v>12.9</v>
      </c>
      <c r="H65" s="80">
        <f t="shared" si="1"/>
        <v>9.7750000000000004</v>
      </c>
      <c r="I65" s="82">
        <v>7.8</v>
      </c>
      <c r="J65" s="14">
        <v>1.84179168518004</v>
      </c>
      <c r="K65" s="14">
        <v>-3.3981696317457399</v>
      </c>
      <c r="L65" s="82">
        <v>0.1525883213597409</v>
      </c>
      <c r="M65" s="88">
        <v>83</v>
      </c>
      <c r="N65" s="24">
        <v>42</v>
      </c>
      <c r="O65" s="84">
        <v>59.16009424603174</v>
      </c>
      <c r="P65" s="122">
        <v>1009.3812045667499</v>
      </c>
      <c r="Q65" s="21">
        <v>996.29342785858205</v>
      </c>
      <c r="R65" s="70">
        <v>1003.6625703134292</v>
      </c>
      <c r="S65" s="76">
        <v>11.2</v>
      </c>
      <c r="T65" s="66">
        <v>6.471460740822792</v>
      </c>
      <c r="U65" s="19">
        <v>2.9</v>
      </c>
      <c r="V65" s="223" t="s">
        <v>230</v>
      </c>
      <c r="W65" s="252" t="s">
        <v>223</v>
      </c>
      <c r="X65" s="16">
        <v>0</v>
      </c>
      <c r="Y65" s="17">
        <v>0</v>
      </c>
      <c r="Z65" s="18">
        <v>0</v>
      </c>
      <c r="AA65" s="46">
        <v>0</v>
      </c>
      <c r="AB65" s="327" t="s">
        <v>251</v>
      </c>
      <c r="AC65" s="29"/>
    </row>
    <row r="66" spans="1:29" s="20" customFormat="1" x14ac:dyDescent="0.3">
      <c r="A66" s="42">
        <v>43529</v>
      </c>
      <c r="B66" s="43">
        <v>6.7</v>
      </c>
      <c r="C66" s="14">
        <v>12.3</v>
      </c>
      <c r="D66" s="14">
        <v>3.8</v>
      </c>
      <c r="E66" s="14">
        <v>14.7</v>
      </c>
      <c r="F66" s="14">
        <v>0.4</v>
      </c>
      <c r="G66" s="80">
        <f t="shared" si="0"/>
        <v>14.299999999999999</v>
      </c>
      <c r="H66" s="68">
        <f t="shared" si="1"/>
        <v>6.65</v>
      </c>
      <c r="I66" s="82">
        <v>8.1</v>
      </c>
      <c r="J66" s="14">
        <v>1.56806691950067</v>
      </c>
      <c r="K66" s="14">
        <v>-8.0522029920388292</v>
      </c>
      <c r="L66" s="82">
        <v>-3.0779475240033394</v>
      </c>
      <c r="M66" s="88">
        <v>68</v>
      </c>
      <c r="N66" s="24">
        <v>22</v>
      </c>
      <c r="O66" s="84">
        <v>48.132688492063487</v>
      </c>
      <c r="P66" s="122">
        <v>1011.66613671435</v>
      </c>
      <c r="Q66" s="21">
        <v>997.81072415358005</v>
      </c>
      <c r="R66" s="70">
        <v>1004.7881990176257</v>
      </c>
      <c r="S66" s="75">
        <v>11.6</v>
      </c>
      <c r="T66" s="65">
        <v>6.6000328085212638</v>
      </c>
      <c r="U66" s="25">
        <v>1.7</v>
      </c>
      <c r="V66" s="223" t="s">
        <v>256</v>
      </c>
      <c r="W66" s="252" t="s">
        <v>240</v>
      </c>
      <c r="X66" s="16">
        <v>1.2</v>
      </c>
      <c r="Y66" s="17">
        <v>0.2</v>
      </c>
      <c r="Z66" s="18">
        <v>0</v>
      </c>
      <c r="AA66" s="46">
        <v>0</v>
      </c>
      <c r="AB66" s="327" t="s">
        <v>257</v>
      </c>
      <c r="AC66" s="29"/>
    </row>
    <row r="67" spans="1:29" s="20" customFormat="1" x14ac:dyDescent="0.3">
      <c r="A67" s="42">
        <v>43530</v>
      </c>
      <c r="B67" s="43">
        <v>0.7</v>
      </c>
      <c r="C67" s="14">
        <v>11.7</v>
      </c>
      <c r="D67" s="14">
        <v>8.3000000000000007</v>
      </c>
      <c r="E67" s="14">
        <v>12</v>
      </c>
      <c r="F67" s="14">
        <v>-0.1</v>
      </c>
      <c r="G67" s="80">
        <f t="shared" si="0"/>
        <v>12.1</v>
      </c>
      <c r="H67" s="68">
        <f t="shared" si="1"/>
        <v>7.25</v>
      </c>
      <c r="I67" s="82">
        <v>6.6</v>
      </c>
      <c r="J67" s="14">
        <v>2.23037446898423</v>
      </c>
      <c r="K67" s="14">
        <v>-4.9468923386954797</v>
      </c>
      <c r="L67" s="82">
        <v>-2.4768739990909197</v>
      </c>
      <c r="M67" s="88">
        <v>84.25</v>
      </c>
      <c r="N67" s="24">
        <v>32</v>
      </c>
      <c r="O67" s="84">
        <v>55.022652116402107</v>
      </c>
      <c r="P67" s="122">
        <v>1017.79315764384</v>
      </c>
      <c r="Q67" s="21">
        <v>1011.04032909954</v>
      </c>
      <c r="R67" s="70">
        <v>1015.6364925878279</v>
      </c>
      <c r="S67" s="75">
        <v>7.5</v>
      </c>
      <c r="T67" s="65">
        <v>5.2285974197376248</v>
      </c>
      <c r="U67" s="25">
        <v>1.9</v>
      </c>
      <c r="V67" s="223" t="s">
        <v>271</v>
      </c>
      <c r="W67" s="252"/>
      <c r="X67" s="16">
        <v>0</v>
      </c>
      <c r="Y67" s="17">
        <v>0</v>
      </c>
      <c r="Z67" s="18">
        <v>0</v>
      </c>
      <c r="AA67" s="46">
        <v>0</v>
      </c>
      <c r="AB67" s="327" t="s">
        <v>250</v>
      </c>
      <c r="AC67" s="29"/>
    </row>
    <row r="68" spans="1:29" s="20" customFormat="1" x14ac:dyDescent="0.3">
      <c r="A68" s="42">
        <v>43531</v>
      </c>
      <c r="B68" s="43">
        <v>4.7</v>
      </c>
      <c r="C68" s="14">
        <v>10.7</v>
      </c>
      <c r="D68" s="14">
        <v>11.7</v>
      </c>
      <c r="E68" s="14">
        <v>12.5</v>
      </c>
      <c r="F68" s="14">
        <v>4.3</v>
      </c>
      <c r="G68" s="80">
        <f t="shared" si="0"/>
        <v>8.1999999999999993</v>
      </c>
      <c r="H68" s="68">
        <f t="shared" si="1"/>
        <v>9.6999999999999993</v>
      </c>
      <c r="I68" s="82">
        <v>8.5</v>
      </c>
      <c r="J68" s="14">
        <v>2.9191184893704398</v>
      </c>
      <c r="K68" s="14">
        <v>-2.77451470024325</v>
      </c>
      <c r="L68" s="82">
        <v>-0.30581394963228958</v>
      </c>
      <c r="M68" s="88">
        <v>60</v>
      </c>
      <c r="N68" s="24">
        <v>46.571428571428598</v>
      </c>
      <c r="O68" s="84">
        <v>53.635416666666664</v>
      </c>
      <c r="P68" s="122">
        <v>1015.21720517388</v>
      </c>
      <c r="Q68" s="21">
        <v>1006.68874506004</v>
      </c>
      <c r="R68" s="70">
        <v>1009.5934142562922</v>
      </c>
      <c r="S68" s="75">
        <v>13.9</v>
      </c>
      <c r="T68" s="65">
        <v>8.3178984908257778</v>
      </c>
      <c r="U68" s="25">
        <v>4.0999999999999996</v>
      </c>
      <c r="V68" s="223" t="s">
        <v>226</v>
      </c>
      <c r="W68" s="252"/>
      <c r="X68" s="16">
        <v>0</v>
      </c>
      <c r="Y68" s="17">
        <v>0</v>
      </c>
      <c r="Z68" s="18">
        <v>0</v>
      </c>
      <c r="AA68" s="46">
        <v>0</v>
      </c>
      <c r="AB68" s="327" t="s">
        <v>248</v>
      </c>
      <c r="AC68" s="29"/>
    </row>
    <row r="69" spans="1:29" s="20" customFormat="1" x14ac:dyDescent="0.3">
      <c r="A69" s="42">
        <v>43532</v>
      </c>
      <c r="B69" s="43">
        <v>4.7</v>
      </c>
      <c r="C69" s="14">
        <v>16.2</v>
      </c>
      <c r="D69" s="14">
        <v>6.2</v>
      </c>
      <c r="E69" s="14">
        <v>17</v>
      </c>
      <c r="F69" s="14">
        <v>3.5</v>
      </c>
      <c r="G69" s="80">
        <f t="shared" si="0"/>
        <v>13.5</v>
      </c>
      <c r="H69" s="68">
        <f t="shared" si="1"/>
        <v>8.3249999999999993</v>
      </c>
      <c r="I69" s="82">
        <v>9.4</v>
      </c>
      <c r="J69" s="14">
        <v>4.4128549478201897</v>
      </c>
      <c r="K69" s="14">
        <v>-2.23096597317305</v>
      </c>
      <c r="L69" s="82">
        <v>0.60454983767251291</v>
      </c>
      <c r="M69" s="88">
        <v>81</v>
      </c>
      <c r="N69" s="24">
        <v>31</v>
      </c>
      <c r="O69" s="84">
        <v>57.987661210317434</v>
      </c>
      <c r="P69" s="122">
        <v>1017.28015197901</v>
      </c>
      <c r="Q69" s="21">
        <v>1008.84271470305</v>
      </c>
      <c r="R69" s="70">
        <v>1012.3583191453339</v>
      </c>
      <c r="S69" s="75">
        <v>9.9</v>
      </c>
      <c r="T69" s="65">
        <v>7.0143205822163335</v>
      </c>
      <c r="U69" s="25">
        <v>1.9</v>
      </c>
      <c r="V69" s="223" t="s">
        <v>271</v>
      </c>
      <c r="W69" s="252" t="s">
        <v>223</v>
      </c>
      <c r="X69" s="16">
        <v>0</v>
      </c>
      <c r="Y69" s="17">
        <v>0</v>
      </c>
      <c r="Z69" s="18">
        <v>0</v>
      </c>
      <c r="AA69" s="46">
        <v>0</v>
      </c>
      <c r="AB69" s="327" t="s">
        <v>252</v>
      </c>
      <c r="AC69" s="29"/>
    </row>
    <row r="70" spans="1:29" s="20" customFormat="1" x14ac:dyDescent="0.3">
      <c r="A70" s="42">
        <v>43533</v>
      </c>
      <c r="B70" s="43">
        <v>-1.1000000000000001</v>
      </c>
      <c r="C70" s="14">
        <v>12.8</v>
      </c>
      <c r="D70" s="14">
        <v>7.6</v>
      </c>
      <c r="E70" s="14">
        <v>14.3</v>
      </c>
      <c r="F70" s="14">
        <v>-1.1000000000000001</v>
      </c>
      <c r="G70" s="80">
        <f t="shared" si="0"/>
        <v>15.4</v>
      </c>
      <c r="H70" s="68">
        <f t="shared" si="1"/>
        <v>6.7249999999999996</v>
      </c>
      <c r="I70" s="82">
        <v>7.4</v>
      </c>
      <c r="J70" s="14">
        <v>2.5889345832175601</v>
      </c>
      <c r="K70" s="14">
        <v>-4.2575788450158001</v>
      </c>
      <c r="L70" s="82">
        <v>-0.75785635241069305</v>
      </c>
      <c r="M70" s="88">
        <v>83</v>
      </c>
      <c r="N70" s="24">
        <v>30</v>
      </c>
      <c r="O70" s="84">
        <v>58.711061507936471</v>
      </c>
      <c r="P70" s="122">
        <v>1017.73494427376</v>
      </c>
      <c r="Q70" s="21">
        <v>1007.16902345817</v>
      </c>
      <c r="R70" s="70">
        <v>1013.7281223103897</v>
      </c>
      <c r="S70" s="75">
        <v>12.9</v>
      </c>
      <c r="T70" s="65">
        <v>6.3928889216737357</v>
      </c>
      <c r="U70" s="25">
        <v>2.2000000000000002</v>
      </c>
      <c r="V70" s="223" t="s">
        <v>271</v>
      </c>
      <c r="W70" s="252" t="s">
        <v>223</v>
      </c>
      <c r="X70" s="16">
        <v>0</v>
      </c>
      <c r="Y70" s="17">
        <v>0</v>
      </c>
      <c r="Z70" s="18">
        <v>0</v>
      </c>
      <c r="AA70" s="46">
        <v>0</v>
      </c>
      <c r="AB70" s="327" t="s">
        <v>258</v>
      </c>
      <c r="AC70" s="29"/>
    </row>
    <row r="71" spans="1:29" s="20" customFormat="1" x14ac:dyDescent="0.3">
      <c r="A71" s="42">
        <v>43534</v>
      </c>
      <c r="B71" s="43">
        <v>5.3</v>
      </c>
      <c r="C71" s="14">
        <v>11.4</v>
      </c>
      <c r="D71" s="14">
        <v>8.1999999999999993</v>
      </c>
      <c r="E71" s="14">
        <v>13.3</v>
      </c>
      <c r="F71" s="14">
        <v>5.2</v>
      </c>
      <c r="G71" s="80">
        <f t="shared" si="0"/>
        <v>8.1000000000000014</v>
      </c>
      <c r="H71" s="68">
        <f t="shared" si="1"/>
        <v>8.2749999999999986</v>
      </c>
      <c r="I71" s="82">
        <v>8.6999999999999993</v>
      </c>
      <c r="J71" s="14">
        <v>4.6827057994528198</v>
      </c>
      <c r="K71" s="14">
        <v>-9.3293756785883399</v>
      </c>
      <c r="L71" s="82">
        <v>-0.72853138074234869</v>
      </c>
      <c r="M71" s="88">
        <v>90</v>
      </c>
      <c r="N71" s="24">
        <v>20</v>
      </c>
      <c r="O71" s="84">
        <v>55.830603448275852</v>
      </c>
      <c r="P71" s="122">
        <v>1011.38961724469</v>
      </c>
      <c r="Q71" s="21">
        <v>1000.40138864501</v>
      </c>
      <c r="R71" s="70">
        <v>1006.2626076251557</v>
      </c>
      <c r="S71" s="75">
        <v>13.3</v>
      </c>
      <c r="T71" s="65">
        <v>8.1384333129966677</v>
      </c>
      <c r="U71" s="25">
        <v>3</v>
      </c>
      <c r="V71" s="223" t="s">
        <v>271</v>
      </c>
      <c r="W71" s="252" t="s">
        <v>240</v>
      </c>
      <c r="X71" s="16">
        <v>6</v>
      </c>
      <c r="Y71" s="17">
        <v>2.1</v>
      </c>
      <c r="Z71" s="18">
        <v>0</v>
      </c>
      <c r="AA71" s="46">
        <v>0</v>
      </c>
      <c r="AB71" s="327" t="s">
        <v>258</v>
      </c>
      <c r="AC71" s="29"/>
    </row>
    <row r="72" spans="1:29" s="20" customFormat="1" x14ac:dyDescent="0.3">
      <c r="A72" s="42">
        <v>43535</v>
      </c>
      <c r="B72" s="43">
        <v>4.7</v>
      </c>
      <c r="C72" s="14">
        <v>9.6999999999999993</v>
      </c>
      <c r="D72" s="14">
        <v>4.3</v>
      </c>
      <c r="E72" s="14">
        <v>11.3</v>
      </c>
      <c r="F72" s="14">
        <v>2.7</v>
      </c>
      <c r="G72" s="80">
        <f t="shared" si="0"/>
        <v>8.6000000000000014</v>
      </c>
      <c r="H72" s="68">
        <f t="shared" si="1"/>
        <v>5.75</v>
      </c>
      <c r="I72" s="82">
        <v>6.5</v>
      </c>
      <c r="J72" s="14">
        <v>4.5839458711950902</v>
      </c>
      <c r="K72" s="14">
        <v>-8.0407692287194905</v>
      </c>
      <c r="L72" s="82">
        <v>-2.6974934169230291</v>
      </c>
      <c r="M72" s="88">
        <v>90</v>
      </c>
      <c r="N72" s="24">
        <v>30</v>
      </c>
      <c r="O72" s="84">
        <v>54.336495535714285</v>
      </c>
      <c r="P72" s="122">
        <v>1013.1069443922599</v>
      </c>
      <c r="Q72" s="21">
        <v>1000.88167774231</v>
      </c>
      <c r="R72" s="70">
        <v>1008.8138456524097</v>
      </c>
      <c r="S72" s="75">
        <v>17</v>
      </c>
      <c r="T72" s="65">
        <v>9.2973676454453464</v>
      </c>
      <c r="U72" s="25">
        <v>2.7</v>
      </c>
      <c r="V72" s="223" t="s">
        <v>234</v>
      </c>
      <c r="W72" s="252" t="s">
        <v>200</v>
      </c>
      <c r="X72" s="16">
        <v>1.2</v>
      </c>
      <c r="Y72" s="17">
        <v>0.1</v>
      </c>
      <c r="Z72" s="18">
        <v>0</v>
      </c>
      <c r="AA72" s="46">
        <v>0</v>
      </c>
      <c r="AB72" s="327" t="s">
        <v>259</v>
      </c>
      <c r="AC72" s="29"/>
    </row>
    <row r="73" spans="1:29" s="20" customFormat="1" x14ac:dyDescent="0.3">
      <c r="A73" s="42">
        <v>43536</v>
      </c>
      <c r="B73" s="43">
        <v>0.1</v>
      </c>
      <c r="C73" s="14">
        <v>9.8000000000000007</v>
      </c>
      <c r="D73" s="14">
        <v>-2</v>
      </c>
      <c r="E73" s="14">
        <v>10.5</v>
      </c>
      <c r="F73" s="14">
        <v>-4.3</v>
      </c>
      <c r="G73" s="80">
        <f t="shared" si="0"/>
        <v>14.8</v>
      </c>
      <c r="H73" s="68">
        <f t="shared" si="1"/>
        <v>1.4750000000000001</v>
      </c>
      <c r="I73" s="82">
        <v>2.6</v>
      </c>
      <c r="J73" s="14">
        <v>1.2664430368460899</v>
      </c>
      <c r="K73" s="14">
        <v>-9.0467872264656695</v>
      </c>
      <c r="L73" s="82">
        <v>-5.3739804924258854</v>
      </c>
      <c r="M73" s="88">
        <v>81</v>
      </c>
      <c r="N73" s="24">
        <v>31</v>
      </c>
      <c r="O73" s="84">
        <v>59.274921733399204</v>
      </c>
      <c r="P73" s="122">
        <v>1019.87427752</v>
      </c>
      <c r="Q73" s="21">
        <v>1013.09239082745</v>
      </c>
      <c r="R73" s="70">
        <v>1017.8180654150428</v>
      </c>
      <c r="S73" s="75">
        <v>11.6</v>
      </c>
      <c r="T73" s="65">
        <v>6.5777112689902921</v>
      </c>
      <c r="U73" s="25">
        <v>2</v>
      </c>
      <c r="V73" s="223" t="s">
        <v>234</v>
      </c>
      <c r="W73" s="252" t="s">
        <v>211</v>
      </c>
      <c r="X73" s="16">
        <v>0</v>
      </c>
      <c r="Y73" s="17">
        <v>0</v>
      </c>
      <c r="Z73" s="18">
        <v>0</v>
      </c>
      <c r="AA73" s="46">
        <v>0</v>
      </c>
      <c r="AB73" s="327" t="s">
        <v>260</v>
      </c>
      <c r="AC73" s="29"/>
    </row>
    <row r="74" spans="1:29" s="20" customFormat="1" x14ac:dyDescent="0.3">
      <c r="A74" s="42">
        <v>43537</v>
      </c>
      <c r="B74" s="43">
        <v>-5.0999999999999996</v>
      </c>
      <c r="C74" s="14">
        <v>5.6</v>
      </c>
      <c r="D74" s="14">
        <v>4.4000000000000004</v>
      </c>
      <c r="E74" s="14">
        <v>7.4</v>
      </c>
      <c r="F74" s="14">
        <v>-6.4</v>
      </c>
      <c r="G74" s="80">
        <f t="shared" si="0"/>
        <v>13.8</v>
      </c>
      <c r="H74" s="68">
        <f t="shared" si="1"/>
        <v>2.3250000000000002</v>
      </c>
      <c r="I74" s="82">
        <v>1.7</v>
      </c>
      <c r="J74" s="14">
        <v>-1.32484094271374</v>
      </c>
      <c r="K74" s="14">
        <v>-10.4519642451111</v>
      </c>
      <c r="L74" s="82">
        <v>-5.20654021067008</v>
      </c>
      <c r="M74" s="88">
        <v>81</v>
      </c>
      <c r="N74" s="24">
        <v>45</v>
      </c>
      <c r="O74" s="84">
        <v>59.561569940476197</v>
      </c>
      <c r="P74" s="122">
        <v>1017.45843066792</v>
      </c>
      <c r="Q74" s="21">
        <v>1010.70559419681</v>
      </c>
      <c r="R74" s="70">
        <v>1013.3753141576932</v>
      </c>
      <c r="S74" s="75">
        <v>10.9</v>
      </c>
      <c r="T74" s="65">
        <v>6.1071732156771521</v>
      </c>
      <c r="U74" s="25">
        <v>2.4</v>
      </c>
      <c r="V74" s="223" t="s">
        <v>230</v>
      </c>
      <c r="W74" s="253" t="s">
        <v>240</v>
      </c>
      <c r="X74" s="26">
        <v>1.2</v>
      </c>
      <c r="Y74" s="27">
        <v>0.8</v>
      </c>
      <c r="Z74" s="28">
        <v>0</v>
      </c>
      <c r="AA74" s="30">
        <v>0</v>
      </c>
      <c r="AB74" s="328" t="s">
        <v>248</v>
      </c>
      <c r="AC74" s="29"/>
    </row>
    <row r="75" spans="1:29" s="20" customFormat="1" x14ac:dyDescent="0.3">
      <c r="A75" s="42">
        <v>43538</v>
      </c>
      <c r="B75" s="43">
        <v>1.4</v>
      </c>
      <c r="C75" s="14">
        <v>9.6999999999999993</v>
      </c>
      <c r="D75" s="14">
        <v>1.7</v>
      </c>
      <c r="E75" s="14">
        <v>10.1</v>
      </c>
      <c r="F75" s="14">
        <v>0.8</v>
      </c>
      <c r="G75" s="80">
        <f t="shared" si="0"/>
        <v>9.2999999999999989</v>
      </c>
      <c r="H75" s="68">
        <f t="shared" si="1"/>
        <v>3.625</v>
      </c>
      <c r="I75" s="82">
        <v>5.3</v>
      </c>
      <c r="J75" s="14">
        <v>2.8166922274168602</v>
      </c>
      <c r="K75" s="14">
        <v>-2.97099012519767</v>
      </c>
      <c r="L75" s="82">
        <v>-0.65232517925592459</v>
      </c>
      <c r="M75" s="88">
        <v>87</v>
      </c>
      <c r="N75" s="24">
        <v>45</v>
      </c>
      <c r="O75" s="84">
        <v>67.262442129629619</v>
      </c>
      <c r="P75" s="122">
        <v>1011.06943646273</v>
      </c>
      <c r="Q75" s="21">
        <v>1002.74460957983</v>
      </c>
      <c r="R75" s="70">
        <v>1006.8462748505107</v>
      </c>
      <c r="S75" s="75">
        <v>8.1999999999999993</v>
      </c>
      <c r="T75" s="65">
        <v>5.5357418036839725</v>
      </c>
      <c r="U75" s="25">
        <v>1.8</v>
      </c>
      <c r="V75" s="223" t="s">
        <v>226</v>
      </c>
      <c r="W75" s="253" t="s">
        <v>240</v>
      </c>
      <c r="X75" s="26">
        <v>1.2</v>
      </c>
      <c r="Y75" s="27">
        <v>0.9</v>
      </c>
      <c r="Z75" s="28">
        <v>0</v>
      </c>
      <c r="AA75" s="30">
        <v>0</v>
      </c>
      <c r="AB75" s="328" t="s">
        <v>258</v>
      </c>
      <c r="AC75" s="29"/>
    </row>
    <row r="76" spans="1:29" s="20" customFormat="1" x14ac:dyDescent="0.3">
      <c r="A76" s="42">
        <v>43539</v>
      </c>
      <c r="B76" s="43">
        <v>4.7</v>
      </c>
      <c r="C76" s="14">
        <v>8.4</v>
      </c>
      <c r="D76" s="14">
        <v>5.6</v>
      </c>
      <c r="E76" s="14">
        <v>9.1999999999999993</v>
      </c>
      <c r="F76" s="14">
        <v>1.7</v>
      </c>
      <c r="G76" s="80">
        <f t="shared" si="0"/>
        <v>7.4999999999999991</v>
      </c>
      <c r="H76" s="68">
        <f t="shared" si="1"/>
        <v>6.0750000000000002</v>
      </c>
      <c r="I76" s="82">
        <v>6.1</v>
      </c>
      <c r="J76" s="14">
        <v>3.2764147635340799</v>
      </c>
      <c r="K76" s="14">
        <v>-1.2586839040578699</v>
      </c>
      <c r="L76" s="82">
        <v>0.75592036705461341</v>
      </c>
      <c r="M76" s="88">
        <v>78</v>
      </c>
      <c r="N76" s="24">
        <v>60</v>
      </c>
      <c r="O76" s="84">
        <v>68.588913690476204</v>
      </c>
      <c r="P76" s="122">
        <v>1005.29156681926</v>
      </c>
      <c r="Q76" s="21">
        <v>1000.96900294281</v>
      </c>
      <c r="R76" s="70">
        <v>1003.2950276709321</v>
      </c>
      <c r="S76" s="75">
        <v>8.8000000000000007</v>
      </c>
      <c r="T76" s="65">
        <v>5.700028334632</v>
      </c>
      <c r="U76" s="25">
        <v>3.2</v>
      </c>
      <c r="V76" s="223" t="s">
        <v>230</v>
      </c>
      <c r="W76" s="253" t="s">
        <v>240</v>
      </c>
      <c r="X76" s="26">
        <v>4.2</v>
      </c>
      <c r="Y76" s="27">
        <v>5.4</v>
      </c>
      <c r="Z76" s="28">
        <v>0</v>
      </c>
      <c r="AA76" s="30">
        <v>0</v>
      </c>
      <c r="AB76" s="328" t="s">
        <v>258</v>
      </c>
      <c r="AC76" s="29"/>
    </row>
    <row r="77" spans="1:29" s="20" customFormat="1" x14ac:dyDescent="0.3">
      <c r="A77" s="42">
        <v>43540</v>
      </c>
      <c r="B77" s="43">
        <v>3.5</v>
      </c>
      <c r="C77" s="14">
        <v>14.4</v>
      </c>
      <c r="D77" s="14">
        <v>7</v>
      </c>
      <c r="E77" s="14">
        <v>14.8</v>
      </c>
      <c r="F77" s="14">
        <v>3.5</v>
      </c>
      <c r="G77" s="80">
        <f t="shared" si="0"/>
        <v>11.3</v>
      </c>
      <c r="H77" s="68">
        <f t="shared" si="1"/>
        <v>7.9749999999999996</v>
      </c>
      <c r="I77" s="82">
        <v>8.1</v>
      </c>
      <c r="J77" s="14">
        <v>3.3074816758867001</v>
      </c>
      <c r="K77" s="14">
        <v>-3.63644757277115</v>
      </c>
      <c r="L77" s="82">
        <v>9.6008481247288648E-3</v>
      </c>
      <c r="M77" s="88">
        <v>87</v>
      </c>
      <c r="N77" s="24">
        <v>31</v>
      </c>
      <c r="O77" s="84">
        <v>60.009486607142875</v>
      </c>
      <c r="P77" s="122">
        <v>1010.22532176651</v>
      </c>
      <c r="Q77" s="21">
        <v>1000.08119545208</v>
      </c>
      <c r="R77" s="70">
        <v>1005.7991861740645</v>
      </c>
      <c r="S77" s="75">
        <v>13.6</v>
      </c>
      <c r="T77" s="65">
        <v>7.1143210793151379</v>
      </c>
      <c r="U77" s="25">
        <v>2.2999999999999998</v>
      </c>
      <c r="V77" s="223" t="s">
        <v>231</v>
      </c>
      <c r="W77" s="253"/>
      <c r="X77" s="26">
        <v>0</v>
      </c>
      <c r="Y77" s="27">
        <v>0</v>
      </c>
      <c r="Z77" s="28">
        <v>0</v>
      </c>
      <c r="AA77" s="30">
        <v>0</v>
      </c>
      <c r="AB77" s="328" t="s">
        <v>248</v>
      </c>
      <c r="AC77" s="29"/>
    </row>
    <row r="78" spans="1:29" s="20" customFormat="1" x14ac:dyDescent="0.3">
      <c r="A78" s="42">
        <v>43541</v>
      </c>
      <c r="B78" s="43">
        <v>1.5</v>
      </c>
      <c r="C78" s="14">
        <v>16</v>
      </c>
      <c r="D78" s="14">
        <v>12.4</v>
      </c>
      <c r="E78" s="14">
        <v>17.2</v>
      </c>
      <c r="F78" s="14">
        <v>1.3</v>
      </c>
      <c r="G78" s="80">
        <f t="shared" si="0"/>
        <v>15.899999999999999</v>
      </c>
      <c r="H78" s="68">
        <f t="shared" si="1"/>
        <v>10.574999999999999</v>
      </c>
      <c r="I78" s="82">
        <v>10.4</v>
      </c>
      <c r="J78" s="14">
        <v>6.3478794146728497</v>
      </c>
      <c r="K78" s="14">
        <v>-1.76515755979049</v>
      </c>
      <c r="L78" s="82">
        <v>3.8819595714860995</v>
      </c>
      <c r="M78" s="88">
        <v>85</v>
      </c>
      <c r="N78" s="24">
        <v>44</v>
      </c>
      <c r="O78" s="84">
        <v>64.663070436507965</v>
      </c>
      <c r="P78" s="122">
        <v>1010.6328257082801</v>
      </c>
      <c r="Q78" s="21">
        <v>1005.58264618702</v>
      </c>
      <c r="R78" s="70">
        <v>1008.6566821200116</v>
      </c>
      <c r="S78" s="75">
        <v>10.5</v>
      </c>
      <c r="T78" s="65">
        <v>6.8446768817808614</v>
      </c>
      <c r="U78" s="25">
        <v>3.2</v>
      </c>
      <c r="V78" s="223" t="s">
        <v>226</v>
      </c>
      <c r="W78" s="253"/>
      <c r="X78" s="26">
        <v>0</v>
      </c>
      <c r="Y78" s="27">
        <v>0</v>
      </c>
      <c r="Z78" s="28">
        <v>0</v>
      </c>
      <c r="AA78" s="30">
        <v>0</v>
      </c>
      <c r="AB78" s="328" t="s">
        <v>261</v>
      </c>
      <c r="AC78" s="29"/>
    </row>
    <row r="79" spans="1:29" s="20" customFormat="1" x14ac:dyDescent="0.3">
      <c r="A79" s="42">
        <v>43542</v>
      </c>
      <c r="B79" s="43">
        <v>8.6</v>
      </c>
      <c r="C79" s="14">
        <v>7.2</v>
      </c>
      <c r="D79" s="14">
        <v>5</v>
      </c>
      <c r="E79" s="14">
        <v>11.2</v>
      </c>
      <c r="F79" s="14">
        <v>3.8</v>
      </c>
      <c r="G79" s="80">
        <f t="shared" si="0"/>
        <v>7.3999999999999995</v>
      </c>
      <c r="H79" s="68">
        <f t="shared" si="1"/>
        <v>6.45</v>
      </c>
      <c r="I79" s="82">
        <v>7.5</v>
      </c>
      <c r="J79" s="14">
        <v>4.9282362852633304</v>
      </c>
      <c r="K79" s="14">
        <v>0.60618214533788894</v>
      </c>
      <c r="L79" s="82">
        <v>2.5922735173592786</v>
      </c>
      <c r="M79" s="88">
        <v>85</v>
      </c>
      <c r="N79" s="24">
        <v>61</v>
      </c>
      <c r="O79" s="84">
        <v>74.464347718253961</v>
      </c>
      <c r="P79" s="122">
        <v>1019.2775943397</v>
      </c>
      <c r="Q79" s="21">
        <v>1005.33522873751</v>
      </c>
      <c r="R79" s="70">
        <v>1013.3257368508249</v>
      </c>
      <c r="S79" s="75">
        <v>8</v>
      </c>
      <c r="T79" s="65">
        <v>5.1214540299889162</v>
      </c>
      <c r="U79" s="25">
        <v>1.4</v>
      </c>
      <c r="V79" s="223" t="s">
        <v>227</v>
      </c>
      <c r="W79" s="253" t="s">
        <v>240</v>
      </c>
      <c r="X79" s="26">
        <v>1.2</v>
      </c>
      <c r="Y79" s="27">
        <v>0.4</v>
      </c>
      <c r="Z79" s="28">
        <v>0</v>
      </c>
      <c r="AA79" s="30">
        <v>0</v>
      </c>
      <c r="AB79" s="328" t="s">
        <v>262</v>
      </c>
      <c r="AC79" s="29"/>
    </row>
    <row r="80" spans="1:29" s="20" customFormat="1" x14ac:dyDescent="0.3">
      <c r="A80" s="42">
        <v>43543</v>
      </c>
      <c r="B80" s="43">
        <v>0.4</v>
      </c>
      <c r="C80" s="14">
        <v>10.6</v>
      </c>
      <c r="D80" s="14">
        <v>3.7</v>
      </c>
      <c r="E80" s="14">
        <v>12.1</v>
      </c>
      <c r="F80" s="14">
        <v>0.4</v>
      </c>
      <c r="G80" s="80">
        <f t="shared" si="0"/>
        <v>11.7</v>
      </c>
      <c r="H80" s="68">
        <f t="shared" si="1"/>
        <v>4.5999999999999996</v>
      </c>
      <c r="I80" s="82">
        <v>4.9000000000000004</v>
      </c>
      <c r="J80" s="14">
        <v>3.4852438049338099</v>
      </c>
      <c r="K80" s="14">
        <v>-5.04385609137573</v>
      </c>
      <c r="L80" s="82">
        <v>-1.8670060091193292</v>
      </c>
      <c r="M80" s="88">
        <v>89</v>
      </c>
      <c r="N80" s="24">
        <v>39.125</v>
      </c>
      <c r="O80" s="84">
        <v>64.944072420634939</v>
      </c>
      <c r="P80" s="122">
        <v>1028.56242728962</v>
      </c>
      <c r="Q80" s="21">
        <v>1019.25394528433</v>
      </c>
      <c r="R80" s="70">
        <v>1023.6400929627657</v>
      </c>
      <c r="S80" s="75">
        <v>6.8</v>
      </c>
      <c r="T80" s="65">
        <v>4.0571630251515973</v>
      </c>
      <c r="U80" s="25">
        <v>1.1000000000000001</v>
      </c>
      <c r="V80" s="223" t="s">
        <v>227</v>
      </c>
      <c r="W80" s="253"/>
      <c r="X80" s="26">
        <v>0</v>
      </c>
      <c r="Y80" s="27">
        <v>0</v>
      </c>
      <c r="Z80" s="28">
        <v>0</v>
      </c>
      <c r="AA80" s="30">
        <v>0</v>
      </c>
      <c r="AB80" s="328" t="s">
        <v>263</v>
      </c>
      <c r="AC80" s="29"/>
    </row>
    <row r="81" spans="1:29" s="20" customFormat="1" x14ac:dyDescent="0.3">
      <c r="A81" s="42">
        <v>43544</v>
      </c>
      <c r="B81" s="43">
        <v>-3.6</v>
      </c>
      <c r="C81" s="14">
        <v>13.3</v>
      </c>
      <c r="D81" s="14">
        <v>1.2</v>
      </c>
      <c r="E81" s="14">
        <v>14.4</v>
      </c>
      <c r="F81" s="14">
        <v>-4.2</v>
      </c>
      <c r="G81" s="80">
        <f t="shared" si="0"/>
        <v>18.600000000000001</v>
      </c>
      <c r="H81" s="68">
        <f t="shared" si="1"/>
        <v>3.0250000000000004</v>
      </c>
      <c r="I81" s="82">
        <v>4.0999999999999996</v>
      </c>
      <c r="J81" s="14">
        <v>0.81171497678442095</v>
      </c>
      <c r="K81" s="14">
        <v>-8.3591505502634593</v>
      </c>
      <c r="L81" s="82">
        <v>-5.5633984857732974</v>
      </c>
      <c r="M81" s="88">
        <v>81</v>
      </c>
      <c r="N81" s="24">
        <v>22.5</v>
      </c>
      <c r="O81" s="84">
        <v>53.740575396825392</v>
      </c>
      <c r="P81" s="122">
        <v>1034.6745379772501</v>
      </c>
      <c r="Q81" s="21">
        <v>1028.5769800928299</v>
      </c>
      <c r="R81" s="70">
        <v>1031.7691240500508</v>
      </c>
      <c r="S81" s="75">
        <v>9.1999999999999993</v>
      </c>
      <c r="T81" s="65">
        <v>6.4286033849233055</v>
      </c>
      <c r="U81" s="25">
        <v>1.4</v>
      </c>
      <c r="V81" s="223" t="s">
        <v>229</v>
      </c>
      <c r="W81" s="253"/>
      <c r="X81" s="26">
        <v>0</v>
      </c>
      <c r="Y81" s="27">
        <v>0</v>
      </c>
      <c r="Z81" s="28">
        <v>0</v>
      </c>
      <c r="AA81" s="30">
        <v>0</v>
      </c>
      <c r="AB81" s="328" t="s">
        <v>252</v>
      </c>
      <c r="AC81" s="29"/>
    </row>
    <row r="82" spans="1:29" s="20" customFormat="1" x14ac:dyDescent="0.3">
      <c r="A82" s="42">
        <v>43545</v>
      </c>
      <c r="B82" s="43">
        <v>-4.0999999999999996</v>
      </c>
      <c r="C82" s="14">
        <v>14.4</v>
      </c>
      <c r="D82" s="14">
        <v>8.9</v>
      </c>
      <c r="E82" s="14">
        <v>16.100000000000001</v>
      </c>
      <c r="F82" s="14">
        <v>-4.9000000000000004</v>
      </c>
      <c r="G82" s="80">
        <f t="shared" si="0"/>
        <v>21</v>
      </c>
      <c r="H82" s="68">
        <f t="shared" si="1"/>
        <v>7.0250000000000004</v>
      </c>
      <c r="I82" s="82">
        <v>5.9</v>
      </c>
      <c r="J82" s="14">
        <v>3.1261858120244699</v>
      </c>
      <c r="K82" s="14">
        <v>-9.1576397849694899</v>
      </c>
      <c r="L82" s="82">
        <v>-1.8358678562068331</v>
      </c>
      <c r="M82" s="88">
        <v>80</v>
      </c>
      <c r="N82" s="24">
        <v>30</v>
      </c>
      <c r="O82" s="84">
        <v>59.081969246031754</v>
      </c>
      <c r="P82" s="122">
        <v>1035.3730567661701</v>
      </c>
      <c r="Q82" s="21">
        <v>1031.1091556108599</v>
      </c>
      <c r="R82" s="70">
        <v>1033.1964613873185</v>
      </c>
      <c r="S82" s="75">
        <v>5.4</v>
      </c>
      <c r="T82" s="65">
        <v>3.4214455793091805</v>
      </c>
      <c r="U82" s="25">
        <v>0.9</v>
      </c>
      <c r="V82" s="223" t="s">
        <v>229</v>
      </c>
      <c r="W82" s="253"/>
      <c r="X82" s="26">
        <v>0</v>
      </c>
      <c r="Y82" s="27">
        <v>0</v>
      </c>
      <c r="Z82" s="28">
        <v>0</v>
      </c>
      <c r="AA82" s="30">
        <v>0</v>
      </c>
      <c r="AB82" s="328" t="s">
        <v>251</v>
      </c>
      <c r="AC82" s="29"/>
    </row>
    <row r="83" spans="1:29" s="20" customFormat="1" x14ac:dyDescent="0.3">
      <c r="A83" s="42">
        <v>43546</v>
      </c>
      <c r="B83" s="43">
        <v>5.5</v>
      </c>
      <c r="C83" s="14">
        <v>14.5</v>
      </c>
      <c r="D83" s="14">
        <v>10.6</v>
      </c>
      <c r="E83" s="14">
        <v>18.399999999999999</v>
      </c>
      <c r="F83" s="14">
        <v>4.9000000000000004</v>
      </c>
      <c r="G83" s="80">
        <f t="shared" si="0"/>
        <v>13.499999999999998</v>
      </c>
      <c r="H83" s="68">
        <f t="shared" si="1"/>
        <v>10.3</v>
      </c>
      <c r="I83" s="82">
        <v>11.6</v>
      </c>
      <c r="J83" s="14">
        <v>6.9912785378759104</v>
      </c>
      <c r="K83" s="14">
        <v>0.169581581576704</v>
      </c>
      <c r="L83" s="82">
        <v>4.0772369765811867</v>
      </c>
      <c r="M83" s="88">
        <v>82</v>
      </c>
      <c r="N83" s="24">
        <v>42.285714285714299</v>
      </c>
      <c r="O83" s="84">
        <v>67.187562003968267</v>
      </c>
      <c r="P83" s="122">
        <v>1031.9968671086101</v>
      </c>
      <c r="Q83" s="21">
        <v>1029.3773827718201</v>
      </c>
      <c r="R83" s="70">
        <v>1030.9706769815975</v>
      </c>
      <c r="S83" s="75">
        <v>8.1999999999999993</v>
      </c>
      <c r="T83" s="65">
        <v>6.0286013965280834</v>
      </c>
      <c r="U83" s="25">
        <v>1.4</v>
      </c>
      <c r="V83" s="223" t="s">
        <v>229</v>
      </c>
      <c r="W83" s="255"/>
      <c r="X83" s="26">
        <v>0</v>
      </c>
      <c r="Y83" s="27">
        <v>0</v>
      </c>
      <c r="Z83" s="28">
        <v>0</v>
      </c>
      <c r="AA83" s="30">
        <v>0</v>
      </c>
      <c r="AB83" s="328" t="s">
        <v>251</v>
      </c>
      <c r="AC83" s="29"/>
    </row>
    <row r="84" spans="1:29" s="20" customFormat="1" x14ac:dyDescent="0.3">
      <c r="A84" s="42">
        <v>43547</v>
      </c>
      <c r="B84" s="43">
        <v>0.5</v>
      </c>
      <c r="C84" s="14">
        <v>19.7</v>
      </c>
      <c r="D84" s="14">
        <v>5.5</v>
      </c>
      <c r="E84" s="14">
        <v>20.7</v>
      </c>
      <c r="F84" s="14">
        <v>0.1</v>
      </c>
      <c r="G84" s="80">
        <f t="shared" si="0"/>
        <v>20.599999999999998</v>
      </c>
      <c r="H84" s="68">
        <f t="shared" si="1"/>
        <v>7.8</v>
      </c>
      <c r="I84" s="82">
        <v>9.1999999999999993</v>
      </c>
      <c r="J84" s="14">
        <v>5.3837137443957097</v>
      </c>
      <c r="K84" s="14">
        <v>-10.8524662042584</v>
      </c>
      <c r="L84" s="82">
        <v>-3.2166136811102191</v>
      </c>
      <c r="M84" s="88">
        <v>85</v>
      </c>
      <c r="N84" s="24">
        <v>15</v>
      </c>
      <c r="O84" s="84">
        <v>51.058407738095212</v>
      </c>
      <c r="P84" s="122">
        <v>1029.93038698638</v>
      </c>
      <c r="Q84" s="21">
        <v>1022.98865264105</v>
      </c>
      <c r="R84" s="70">
        <v>1026.4202735361482</v>
      </c>
      <c r="S84" s="75">
        <v>6.1</v>
      </c>
      <c r="T84" s="65">
        <v>3.6785897147061251</v>
      </c>
      <c r="U84" s="25">
        <v>1</v>
      </c>
      <c r="V84" s="223" t="s">
        <v>254</v>
      </c>
      <c r="W84" s="253"/>
      <c r="X84" s="26">
        <v>0</v>
      </c>
      <c r="Y84" s="27">
        <v>0</v>
      </c>
      <c r="Z84" s="28">
        <v>0</v>
      </c>
      <c r="AA84" s="30">
        <v>0</v>
      </c>
      <c r="AB84" s="328" t="s">
        <v>264</v>
      </c>
      <c r="AC84" s="29"/>
    </row>
    <row r="85" spans="1:29" s="20" customFormat="1" x14ac:dyDescent="0.3">
      <c r="A85" s="42">
        <v>43548</v>
      </c>
      <c r="B85" s="43">
        <v>0.8</v>
      </c>
      <c r="C85" s="14">
        <v>15.4</v>
      </c>
      <c r="D85" s="14">
        <v>9.1</v>
      </c>
      <c r="E85" s="14">
        <v>15.5</v>
      </c>
      <c r="F85" s="14">
        <v>-1.1000000000000001</v>
      </c>
      <c r="G85" s="80">
        <f t="shared" si="0"/>
        <v>16.600000000000001</v>
      </c>
      <c r="H85" s="68">
        <f t="shared" si="1"/>
        <v>8.6</v>
      </c>
      <c r="I85" s="82">
        <v>7.3</v>
      </c>
      <c r="J85" s="14">
        <v>7.2994117418954199</v>
      </c>
      <c r="K85" s="14">
        <v>-4.9427921943761701</v>
      </c>
      <c r="L85" s="82">
        <v>2.5577833509009862</v>
      </c>
      <c r="M85" s="88">
        <v>90</v>
      </c>
      <c r="N85" s="24">
        <v>52.428571428571402</v>
      </c>
      <c r="O85" s="84">
        <v>71.593812003968253</v>
      </c>
      <c r="P85" s="122">
        <v>1023.8763889131</v>
      </c>
      <c r="Q85" s="21">
        <v>1013.7272899105</v>
      </c>
      <c r="R85" s="70">
        <v>1020.2162420390016</v>
      </c>
      <c r="S85" s="75">
        <v>7.5</v>
      </c>
      <c r="T85" s="65">
        <v>5.1857400638381534</v>
      </c>
      <c r="U85" s="25">
        <v>1.3</v>
      </c>
      <c r="V85" s="223" t="s">
        <v>254</v>
      </c>
      <c r="W85" s="253" t="s">
        <v>240</v>
      </c>
      <c r="X85" s="26">
        <v>1.2</v>
      </c>
      <c r="Y85" s="27">
        <v>0.1</v>
      </c>
      <c r="Z85" s="28">
        <v>0</v>
      </c>
      <c r="AA85" s="30">
        <v>0</v>
      </c>
      <c r="AB85" s="328" t="s">
        <v>265</v>
      </c>
      <c r="AC85" s="29"/>
    </row>
    <row r="86" spans="1:29" s="20" customFormat="1" x14ac:dyDescent="0.3">
      <c r="A86" s="42">
        <v>43549</v>
      </c>
      <c r="B86" s="43">
        <v>5.6</v>
      </c>
      <c r="C86" s="14">
        <v>11.5</v>
      </c>
      <c r="D86" s="14">
        <v>3.7</v>
      </c>
      <c r="E86" s="14">
        <v>13.7</v>
      </c>
      <c r="F86" s="14">
        <v>3.3</v>
      </c>
      <c r="G86" s="80">
        <f t="shared" si="0"/>
        <v>10.399999999999999</v>
      </c>
      <c r="H86" s="68">
        <f t="shared" si="1"/>
        <v>6.125</v>
      </c>
      <c r="I86" s="82">
        <v>7.7</v>
      </c>
      <c r="J86" s="14">
        <v>5.0160463235543</v>
      </c>
      <c r="K86" s="14">
        <v>-0.73641809787429102</v>
      </c>
      <c r="L86" s="82">
        <v>1.6851718594463059</v>
      </c>
      <c r="M86" s="88">
        <v>89</v>
      </c>
      <c r="N86" s="24">
        <v>42</v>
      </c>
      <c r="O86" s="84">
        <v>68.078062996031747</v>
      </c>
      <c r="P86" s="122">
        <v>1015.37729328931</v>
      </c>
      <c r="Q86" s="21">
        <v>1008.47886963165</v>
      </c>
      <c r="R86" s="70">
        <v>1011.6406944741632</v>
      </c>
      <c r="S86" s="75">
        <v>13.6</v>
      </c>
      <c r="T86" s="65">
        <v>6.5357467746720417</v>
      </c>
      <c r="U86" s="25">
        <v>1.8</v>
      </c>
      <c r="V86" s="223" t="s">
        <v>227</v>
      </c>
      <c r="W86" s="253" t="s">
        <v>240</v>
      </c>
      <c r="X86" s="26">
        <v>2.4</v>
      </c>
      <c r="Y86" s="27">
        <v>0.6</v>
      </c>
      <c r="Z86" s="28">
        <v>0</v>
      </c>
      <c r="AA86" s="30">
        <v>0</v>
      </c>
      <c r="AB86" s="328" t="s">
        <v>266</v>
      </c>
      <c r="AC86" s="29"/>
    </row>
    <row r="87" spans="1:29" s="20" customFormat="1" x14ac:dyDescent="0.3">
      <c r="A87" s="42">
        <v>43550</v>
      </c>
      <c r="B87" s="43">
        <v>4.2</v>
      </c>
      <c r="C87" s="14">
        <v>9.6</v>
      </c>
      <c r="D87" s="14">
        <v>4</v>
      </c>
      <c r="E87" s="14">
        <v>11.6</v>
      </c>
      <c r="F87" s="14">
        <v>2.5</v>
      </c>
      <c r="G87" s="80">
        <f t="shared" si="0"/>
        <v>9.1</v>
      </c>
      <c r="H87" s="68">
        <f t="shared" si="1"/>
        <v>5.45</v>
      </c>
      <c r="I87" s="82">
        <v>6.1</v>
      </c>
      <c r="J87" s="14">
        <v>1.83723942985018</v>
      </c>
      <c r="K87" s="14">
        <v>-7.0631189719560803</v>
      </c>
      <c r="L87" s="82">
        <v>-1.1632447875087741</v>
      </c>
      <c r="M87" s="88">
        <v>82</v>
      </c>
      <c r="N87" s="24">
        <v>33.142857142857103</v>
      </c>
      <c r="O87" s="84">
        <v>62.484275793650795</v>
      </c>
      <c r="P87" s="122">
        <v>1021.73708536751</v>
      </c>
      <c r="Q87" s="21">
        <v>1015.33363292099</v>
      </c>
      <c r="R87" s="70">
        <v>1018.7237434441849</v>
      </c>
      <c r="S87" s="75">
        <v>11.2</v>
      </c>
      <c r="T87" s="65">
        <v>6.108958938839625</v>
      </c>
      <c r="U87" s="25">
        <v>2.8</v>
      </c>
      <c r="V87" s="223" t="s">
        <v>227</v>
      </c>
      <c r="W87" s="253" t="s">
        <v>240</v>
      </c>
      <c r="X87" s="26">
        <v>1.2</v>
      </c>
      <c r="Y87" s="27">
        <v>0.6</v>
      </c>
      <c r="Z87" s="28">
        <v>0</v>
      </c>
      <c r="AA87" s="30">
        <v>0</v>
      </c>
      <c r="AB87" s="328" t="s">
        <v>267</v>
      </c>
      <c r="AC87" s="29"/>
    </row>
    <row r="88" spans="1:29" s="20" customFormat="1" x14ac:dyDescent="0.3">
      <c r="A88" s="42">
        <v>43551</v>
      </c>
      <c r="B88" s="43">
        <v>0.5</v>
      </c>
      <c r="C88" s="14">
        <v>11.9</v>
      </c>
      <c r="D88" s="14">
        <v>1.1000000000000001</v>
      </c>
      <c r="E88" s="14">
        <v>11.9</v>
      </c>
      <c r="F88" s="14">
        <v>-2.5</v>
      </c>
      <c r="G88" s="80">
        <f t="shared" si="0"/>
        <v>14.4</v>
      </c>
      <c r="H88" s="68">
        <f t="shared" si="1"/>
        <v>3.6500000000000004</v>
      </c>
      <c r="I88" s="82">
        <v>4.4000000000000004</v>
      </c>
      <c r="J88" s="14">
        <v>-0.74576989117709203</v>
      </c>
      <c r="K88" s="14">
        <v>-8.64579964951532</v>
      </c>
      <c r="L88" s="82">
        <v>-5.2851051896898005</v>
      </c>
      <c r="M88" s="88">
        <v>82</v>
      </c>
      <c r="N88" s="24">
        <v>30</v>
      </c>
      <c r="O88" s="84">
        <v>52.986024305555553</v>
      </c>
      <c r="P88" s="122">
        <v>1029.9740451607299</v>
      </c>
      <c r="Q88" s="21">
        <v>1021.7661916359</v>
      </c>
      <c r="R88" s="70">
        <v>1026.7820082727249</v>
      </c>
      <c r="S88" s="75">
        <v>11.9</v>
      </c>
      <c r="T88" s="65">
        <v>5.4714557698347228</v>
      </c>
      <c r="U88" s="25">
        <v>2.1</v>
      </c>
      <c r="V88" s="223" t="s">
        <v>234</v>
      </c>
      <c r="W88" s="253"/>
      <c r="X88" s="26">
        <v>0</v>
      </c>
      <c r="Y88" s="27">
        <v>0</v>
      </c>
      <c r="Z88" s="28">
        <v>0</v>
      </c>
      <c r="AA88" s="30">
        <v>0</v>
      </c>
      <c r="AB88" s="328" t="s">
        <v>251</v>
      </c>
      <c r="AC88" s="29"/>
    </row>
    <row r="89" spans="1:29" s="20" customFormat="1" x14ac:dyDescent="0.3">
      <c r="A89" s="42">
        <v>43552</v>
      </c>
      <c r="B89" s="43">
        <v>-2.2000000000000002</v>
      </c>
      <c r="C89" s="14">
        <v>11</v>
      </c>
      <c r="D89" s="14">
        <v>3.1</v>
      </c>
      <c r="E89" s="14">
        <v>12</v>
      </c>
      <c r="F89" s="14">
        <v>-4.9000000000000004</v>
      </c>
      <c r="G89" s="80">
        <f t="shared" si="0"/>
        <v>16.899999999999999</v>
      </c>
      <c r="H89" s="68">
        <f t="shared" si="1"/>
        <v>3.75</v>
      </c>
      <c r="I89" s="82">
        <v>3.9</v>
      </c>
      <c r="J89" s="14">
        <v>4.3273085728535898</v>
      </c>
      <c r="K89" s="14">
        <v>-8.3466119409528599</v>
      </c>
      <c r="L89" s="82">
        <v>-1.5149838027718838</v>
      </c>
      <c r="M89" s="88">
        <v>92</v>
      </c>
      <c r="N89" s="24">
        <v>41.285714285714299</v>
      </c>
      <c r="O89" s="84">
        <v>69.436445932539698</v>
      </c>
      <c r="P89" s="122">
        <v>1032.0259723720101</v>
      </c>
      <c r="Q89" s="21">
        <v>1028.8098247202399</v>
      </c>
      <c r="R89" s="70">
        <v>1029.8961639208958</v>
      </c>
      <c r="S89" s="75">
        <v>4.8</v>
      </c>
      <c r="T89" s="65">
        <v>3.4812673052522221</v>
      </c>
      <c r="U89" s="25">
        <v>0.9</v>
      </c>
      <c r="V89" s="223" t="s">
        <v>229</v>
      </c>
      <c r="W89" s="253"/>
      <c r="X89" s="26">
        <v>0</v>
      </c>
      <c r="Y89" s="27">
        <v>0</v>
      </c>
      <c r="Z89" s="28">
        <v>0</v>
      </c>
      <c r="AA89" s="30">
        <v>0</v>
      </c>
      <c r="AB89" s="328" t="s">
        <v>251</v>
      </c>
      <c r="AC89" s="29"/>
    </row>
    <row r="90" spans="1:29" s="20" customFormat="1" x14ac:dyDescent="0.3">
      <c r="A90" s="42">
        <v>43553</v>
      </c>
      <c r="B90" s="43">
        <v>0.7</v>
      </c>
      <c r="C90" s="14">
        <v>16.7</v>
      </c>
      <c r="D90" s="14">
        <v>7.2</v>
      </c>
      <c r="E90" s="14">
        <v>17.3</v>
      </c>
      <c r="F90" s="14">
        <v>-2.6</v>
      </c>
      <c r="G90" s="80">
        <f t="shared" si="0"/>
        <v>19.900000000000002</v>
      </c>
      <c r="H90" s="68">
        <f t="shared" si="1"/>
        <v>7.9499999999999993</v>
      </c>
      <c r="I90" s="82">
        <v>7.4</v>
      </c>
      <c r="J90" s="14">
        <v>5.1299087646372499</v>
      </c>
      <c r="K90" s="14">
        <v>-3.7173392530443801</v>
      </c>
      <c r="L90" s="82">
        <v>0.35155128639760908</v>
      </c>
      <c r="M90" s="88">
        <v>95.714285714285694</v>
      </c>
      <c r="N90" s="24">
        <v>33.857142857142897</v>
      </c>
      <c r="O90" s="84">
        <v>65.438554067460316</v>
      </c>
      <c r="P90" s="122">
        <v>1032.73905007948</v>
      </c>
      <c r="Q90" s="21">
        <v>1027.4855183198099</v>
      </c>
      <c r="R90" s="70">
        <v>1029.9958062975152</v>
      </c>
      <c r="S90" s="75">
        <v>8.1999999999999993</v>
      </c>
      <c r="T90" s="65">
        <v>4.4643079061967494</v>
      </c>
      <c r="U90" s="25">
        <v>1.6</v>
      </c>
      <c r="V90" s="223" t="s">
        <v>229</v>
      </c>
      <c r="W90" s="253"/>
      <c r="X90" s="26">
        <v>0</v>
      </c>
      <c r="Y90" s="27">
        <v>0</v>
      </c>
      <c r="Z90" s="28">
        <v>0</v>
      </c>
      <c r="AA90" s="30">
        <v>0</v>
      </c>
      <c r="AB90" s="328" t="s">
        <v>268</v>
      </c>
      <c r="AC90" s="29"/>
    </row>
    <row r="91" spans="1:29" s="20" customFormat="1" x14ac:dyDescent="0.3">
      <c r="A91" s="42">
        <v>43554</v>
      </c>
      <c r="B91" s="43">
        <v>0.7</v>
      </c>
      <c r="C91" s="14">
        <v>20.8</v>
      </c>
      <c r="D91" s="14">
        <v>6.5</v>
      </c>
      <c r="E91" s="14">
        <v>22.1</v>
      </c>
      <c r="F91" s="14">
        <v>-1.6</v>
      </c>
      <c r="G91" s="80">
        <f t="shared" si="0"/>
        <v>23.700000000000003</v>
      </c>
      <c r="H91" s="68">
        <f t="shared" si="1"/>
        <v>8.625</v>
      </c>
      <c r="I91" s="82">
        <v>9.1</v>
      </c>
      <c r="J91" s="14">
        <v>6.0529416572294696</v>
      </c>
      <c r="K91" s="14">
        <v>-3.1261007160530299</v>
      </c>
      <c r="L91" s="82">
        <v>0.99784448620031108</v>
      </c>
      <c r="M91" s="88">
        <v>91</v>
      </c>
      <c r="N91" s="24">
        <v>24</v>
      </c>
      <c r="O91" s="84">
        <v>62.708903769841271</v>
      </c>
      <c r="P91" s="122">
        <v>1027.74746953419</v>
      </c>
      <c r="Q91" s="21">
        <v>1020.45640625725</v>
      </c>
      <c r="R91" s="70">
        <v>1023.9362538389264</v>
      </c>
      <c r="S91" s="75">
        <v>3.4</v>
      </c>
      <c r="T91" s="65">
        <v>2.3500058409037248</v>
      </c>
      <c r="U91" s="25">
        <v>0.8</v>
      </c>
      <c r="V91" s="223" t="s">
        <v>230</v>
      </c>
      <c r="W91" s="253"/>
      <c r="X91" s="26">
        <v>0</v>
      </c>
      <c r="Y91" s="27">
        <v>0</v>
      </c>
      <c r="Z91" s="28">
        <v>0</v>
      </c>
      <c r="AA91" s="30">
        <v>0</v>
      </c>
      <c r="AB91" s="328" t="s">
        <v>269</v>
      </c>
      <c r="AC91" s="29"/>
    </row>
    <row r="92" spans="1:29" s="20" customFormat="1" ht="15" thickBot="1" x14ac:dyDescent="0.35">
      <c r="A92" s="42">
        <v>43555</v>
      </c>
      <c r="B92" s="44">
        <v>-1.5</v>
      </c>
      <c r="C92" s="22">
        <v>21.7</v>
      </c>
      <c r="D92" s="22">
        <v>11.2</v>
      </c>
      <c r="E92" s="22">
        <v>23</v>
      </c>
      <c r="F92" s="22">
        <v>-1.8</v>
      </c>
      <c r="G92" s="22">
        <f t="shared" si="0"/>
        <v>24.8</v>
      </c>
      <c r="H92" s="22">
        <f t="shared" si="1"/>
        <v>10.649999999999999</v>
      </c>
      <c r="I92" s="83">
        <v>10.5</v>
      </c>
      <c r="J92" s="22">
        <v>5.5741532227307298</v>
      </c>
      <c r="K92" s="22">
        <v>-3.0715922977867902</v>
      </c>
      <c r="L92" s="83">
        <v>0.97729542144456483</v>
      </c>
      <c r="M92" s="89">
        <v>94</v>
      </c>
      <c r="N92" s="71">
        <v>21.571428571428601</v>
      </c>
      <c r="O92" s="85">
        <v>57.327876984127002</v>
      </c>
      <c r="P92" s="123">
        <v>1020.50006586782</v>
      </c>
      <c r="Q92" s="72">
        <v>1015.33181373833</v>
      </c>
      <c r="R92" s="73">
        <v>1018.4294502651111</v>
      </c>
      <c r="S92" s="77">
        <v>4.4000000000000004</v>
      </c>
      <c r="T92" s="67">
        <v>5.0785966740894164</v>
      </c>
      <c r="U92" s="45">
        <v>0.9</v>
      </c>
      <c r="V92" s="227" t="s">
        <v>254</v>
      </c>
      <c r="W92" s="254"/>
      <c r="X92" s="47">
        <v>0</v>
      </c>
      <c r="Y92" s="48">
        <v>0</v>
      </c>
      <c r="Z92" s="49">
        <v>0</v>
      </c>
      <c r="AA92" s="50">
        <v>0</v>
      </c>
      <c r="AB92" s="329" t="s">
        <v>250</v>
      </c>
      <c r="AC92" s="29"/>
    </row>
    <row r="93" spans="1:29" s="37" customFormat="1" x14ac:dyDescent="0.3">
      <c r="A93" s="42">
        <v>43556</v>
      </c>
      <c r="B93" s="79">
        <v>7.7</v>
      </c>
      <c r="C93" s="32">
        <v>14.6</v>
      </c>
      <c r="D93" s="32">
        <v>6.7</v>
      </c>
      <c r="E93" s="32">
        <v>15.7</v>
      </c>
      <c r="F93" s="32">
        <v>4.3</v>
      </c>
      <c r="G93" s="80">
        <f t="shared" si="0"/>
        <v>11.399999999999999</v>
      </c>
      <c r="H93" s="80">
        <f t="shared" si="1"/>
        <v>8.9250000000000007</v>
      </c>
      <c r="I93" s="87">
        <v>10.4</v>
      </c>
      <c r="J93" s="32">
        <v>4.2224960436916001</v>
      </c>
      <c r="K93" s="32">
        <v>-7.46512923098856</v>
      </c>
      <c r="L93" s="87">
        <v>-1.6330894348436651</v>
      </c>
      <c r="M93" s="119">
        <v>68</v>
      </c>
      <c r="N93" s="33">
        <v>28</v>
      </c>
      <c r="O93" s="114">
        <v>46.792844742063501</v>
      </c>
      <c r="P93" s="124">
        <v>1023.9200480260801</v>
      </c>
      <c r="Q93" s="34">
        <v>1020.52917228</v>
      </c>
      <c r="R93" s="74">
        <v>1022.7072728425493</v>
      </c>
      <c r="S93" s="382">
        <v>11.6</v>
      </c>
      <c r="T93" s="383">
        <v>6.888427099261583</v>
      </c>
      <c r="U93" s="383">
        <v>3.4</v>
      </c>
      <c r="V93" s="384" t="s">
        <v>229</v>
      </c>
      <c r="W93" s="229"/>
      <c r="X93" s="109">
        <v>0</v>
      </c>
      <c r="Y93" s="110">
        <v>0</v>
      </c>
      <c r="Z93" s="111">
        <v>0</v>
      </c>
      <c r="AA93" s="117">
        <v>0</v>
      </c>
      <c r="AB93" s="326" t="s">
        <v>253</v>
      </c>
      <c r="AC93" s="36"/>
    </row>
    <row r="94" spans="1:29" s="20" customFormat="1" x14ac:dyDescent="0.3">
      <c r="A94" s="42">
        <v>43557</v>
      </c>
      <c r="B94" s="43">
        <v>1.7</v>
      </c>
      <c r="C94" s="14">
        <v>17.7</v>
      </c>
      <c r="D94" s="14">
        <v>12.2</v>
      </c>
      <c r="E94" s="14">
        <v>18.399999999999999</v>
      </c>
      <c r="F94" s="14">
        <v>-3.9</v>
      </c>
      <c r="G94" s="80">
        <f t="shared" si="0"/>
        <v>22.299999999999997</v>
      </c>
      <c r="H94" s="80">
        <f t="shared" si="1"/>
        <v>10.95</v>
      </c>
      <c r="I94" s="82">
        <v>8.6999999999999993</v>
      </c>
      <c r="J94" s="14">
        <v>0.39777548513691602</v>
      </c>
      <c r="K94" s="14">
        <v>-7.5721647589136198</v>
      </c>
      <c r="L94" s="82">
        <v>-3.3819919599043597</v>
      </c>
      <c r="M94" s="88">
        <v>80</v>
      </c>
      <c r="N94" s="24">
        <v>22.8571428571429</v>
      </c>
      <c r="O94" s="84">
        <v>44.521949404761898</v>
      </c>
      <c r="P94" s="122">
        <v>1023.1341833676501</v>
      </c>
      <c r="Q94" s="21">
        <v>1016.51246100533</v>
      </c>
      <c r="R94" s="70">
        <v>1019.4906721078559</v>
      </c>
      <c r="S94" s="75">
        <v>7.5</v>
      </c>
      <c r="T94" s="65">
        <v>4.3571645164480275</v>
      </c>
      <c r="U94" s="25">
        <v>1.5</v>
      </c>
      <c r="V94" s="223" t="s">
        <v>271</v>
      </c>
      <c r="W94" s="224"/>
      <c r="X94" s="16">
        <v>0</v>
      </c>
      <c r="Y94" s="17">
        <v>0</v>
      </c>
      <c r="Z94" s="18">
        <v>0</v>
      </c>
      <c r="AA94" s="46">
        <v>0</v>
      </c>
      <c r="AB94" s="327" t="s">
        <v>270</v>
      </c>
      <c r="AC94" s="29"/>
    </row>
    <row r="95" spans="1:29" s="20" customFormat="1" x14ac:dyDescent="0.3">
      <c r="A95" s="42">
        <v>43558</v>
      </c>
      <c r="B95" s="43">
        <v>9</v>
      </c>
      <c r="C95" s="14">
        <v>17</v>
      </c>
      <c r="D95" s="14">
        <v>9</v>
      </c>
      <c r="E95" s="14">
        <v>17.899999999999999</v>
      </c>
      <c r="F95" s="14">
        <v>4.2</v>
      </c>
      <c r="G95" s="80">
        <f t="shared" si="0"/>
        <v>13.7</v>
      </c>
      <c r="H95" s="80">
        <f t="shared" si="1"/>
        <v>11</v>
      </c>
      <c r="I95" s="82">
        <v>11.4</v>
      </c>
      <c r="J95" s="14">
        <v>1.71833818800297</v>
      </c>
      <c r="K95" s="14">
        <v>-6.3098882711999398</v>
      </c>
      <c r="L95" s="82">
        <v>-1.9268476710368629</v>
      </c>
      <c r="M95" s="88">
        <v>80.714285714285694</v>
      </c>
      <c r="N95" s="24">
        <v>27.428571428571399</v>
      </c>
      <c r="O95" s="84">
        <v>43.078869047619051</v>
      </c>
      <c r="P95" s="122">
        <v>1017.13825667348</v>
      </c>
      <c r="Q95" s="21">
        <v>1010.83657748449</v>
      </c>
      <c r="R95" s="70">
        <v>1013.7370186357681</v>
      </c>
      <c r="S95" s="75">
        <v>9.9</v>
      </c>
      <c r="T95" s="65">
        <v>7.4643228191609579</v>
      </c>
      <c r="U95" s="25">
        <v>1.9</v>
      </c>
      <c r="V95" s="223" t="s">
        <v>233</v>
      </c>
      <c r="W95" s="224"/>
      <c r="X95" s="16">
        <v>0</v>
      </c>
      <c r="Y95" s="17">
        <v>0</v>
      </c>
      <c r="Z95" s="18">
        <v>0</v>
      </c>
      <c r="AA95" s="46">
        <v>0</v>
      </c>
      <c r="AB95" s="327" t="s">
        <v>272</v>
      </c>
      <c r="AC95" s="29"/>
    </row>
    <row r="96" spans="1:29" s="20" customFormat="1" x14ac:dyDescent="0.3">
      <c r="A96" s="42">
        <v>43559</v>
      </c>
      <c r="B96" s="43">
        <v>5.9</v>
      </c>
      <c r="C96" s="14">
        <v>18.5</v>
      </c>
      <c r="D96" s="14">
        <v>11.1</v>
      </c>
      <c r="E96" s="14">
        <v>18.600000000000001</v>
      </c>
      <c r="F96" s="14">
        <v>1.9</v>
      </c>
      <c r="G96" s="80">
        <f t="shared" si="0"/>
        <v>16.700000000000003</v>
      </c>
      <c r="H96" s="80">
        <f t="shared" si="1"/>
        <v>11.649999999999999</v>
      </c>
      <c r="I96" s="82">
        <v>10.7</v>
      </c>
      <c r="J96" s="14">
        <v>2.8243888780053701</v>
      </c>
      <c r="K96" s="14">
        <v>-3.2166134069554602</v>
      </c>
      <c r="L96" s="82">
        <v>0.1831486512515067</v>
      </c>
      <c r="M96" s="88">
        <v>84</v>
      </c>
      <c r="N96" s="24">
        <v>25.1428571428571</v>
      </c>
      <c r="O96" s="84">
        <v>52.328125000000021</v>
      </c>
      <c r="P96" s="122">
        <v>1011.69524401519</v>
      </c>
      <c r="Q96" s="21">
        <v>1007.2709006195</v>
      </c>
      <c r="R96" s="70">
        <v>1009.5833933651405</v>
      </c>
      <c r="S96" s="76">
        <v>10.199999999999999</v>
      </c>
      <c r="T96" s="66">
        <v>6.6098542859149028</v>
      </c>
      <c r="U96" s="19">
        <v>2.5</v>
      </c>
      <c r="V96" s="223" t="s">
        <v>230</v>
      </c>
      <c r="W96" s="225" t="s">
        <v>223</v>
      </c>
      <c r="X96" s="16">
        <v>0</v>
      </c>
      <c r="Y96" s="17">
        <v>0</v>
      </c>
      <c r="Z96" s="18">
        <v>0</v>
      </c>
      <c r="AA96" s="46">
        <v>0</v>
      </c>
      <c r="AB96" s="327" t="s">
        <v>251</v>
      </c>
      <c r="AC96" s="29"/>
    </row>
    <row r="97" spans="1:29" s="20" customFormat="1" x14ac:dyDescent="0.3">
      <c r="A97" s="42">
        <v>43560</v>
      </c>
      <c r="B97" s="43">
        <v>4.7</v>
      </c>
      <c r="C97" s="14">
        <v>20.2</v>
      </c>
      <c r="D97" s="14">
        <v>8.1999999999999993</v>
      </c>
      <c r="E97" s="14">
        <v>20.8</v>
      </c>
      <c r="F97" s="14">
        <v>1.9</v>
      </c>
      <c r="G97" s="80">
        <f t="shared" si="0"/>
        <v>18.900000000000002</v>
      </c>
      <c r="H97" s="68">
        <f t="shared" si="1"/>
        <v>10.324999999999999</v>
      </c>
      <c r="I97" s="82">
        <v>11.8</v>
      </c>
      <c r="J97" s="14">
        <v>4.3906509390785704</v>
      </c>
      <c r="K97" s="14">
        <v>-0.35903409430445199</v>
      </c>
      <c r="L97" s="82">
        <v>1.9975536127059945</v>
      </c>
      <c r="M97" s="88">
        <v>90</v>
      </c>
      <c r="N97" s="24">
        <v>28</v>
      </c>
      <c r="O97" s="84">
        <v>56.634605911330063</v>
      </c>
      <c r="P97" s="122">
        <v>1010.2107680348699</v>
      </c>
      <c r="Q97" s="21">
        <v>1006.7178528609001</v>
      </c>
      <c r="R97" s="70">
        <v>1008.4098183928485</v>
      </c>
      <c r="S97" s="75">
        <v>9.1999999999999993</v>
      </c>
      <c r="T97" s="65">
        <v>6.1500152857693191</v>
      </c>
      <c r="U97" s="25">
        <v>1.6</v>
      </c>
      <c r="V97" s="223" t="s">
        <v>254</v>
      </c>
      <c r="W97" s="225"/>
      <c r="X97" s="16">
        <v>0</v>
      </c>
      <c r="Y97" s="17">
        <v>0</v>
      </c>
      <c r="Z97" s="18">
        <v>0</v>
      </c>
      <c r="AA97" s="46">
        <v>0</v>
      </c>
      <c r="AB97" s="327" t="s">
        <v>252</v>
      </c>
      <c r="AC97" s="29"/>
    </row>
    <row r="98" spans="1:29" s="20" customFormat="1" x14ac:dyDescent="0.3">
      <c r="A98" s="42">
        <v>43561</v>
      </c>
      <c r="B98" s="43">
        <v>8.3000000000000007</v>
      </c>
      <c r="C98" s="14">
        <v>13</v>
      </c>
      <c r="D98" s="14">
        <v>9.1</v>
      </c>
      <c r="E98" s="14">
        <v>16.399999999999999</v>
      </c>
      <c r="F98" s="14">
        <v>7</v>
      </c>
      <c r="G98" s="80">
        <f t="shared" si="0"/>
        <v>9.3999999999999986</v>
      </c>
      <c r="H98" s="68">
        <f t="shared" si="1"/>
        <v>9.875</v>
      </c>
      <c r="I98" s="82">
        <v>10.3</v>
      </c>
      <c r="J98" s="14">
        <v>10.0388821411454</v>
      </c>
      <c r="K98" s="14">
        <v>2.8725265410097802</v>
      </c>
      <c r="L98" s="82">
        <v>6.5612001108484215</v>
      </c>
      <c r="M98" s="88">
        <v>98</v>
      </c>
      <c r="N98" s="24">
        <v>48</v>
      </c>
      <c r="O98" s="84">
        <v>78.959759424603178</v>
      </c>
      <c r="P98" s="122">
        <v>1008.9736988234901</v>
      </c>
      <c r="Q98" s="21">
        <v>1007.5183163791399</v>
      </c>
      <c r="R98" s="70">
        <v>1008.2344234588351</v>
      </c>
      <c r="S98" s="75">
        <v>6.5</v>
      </c>
      <c r="T98" s="65">
        <v>4.4500110604347221</v>
      </c>
      <c r="U98" s="25">
        <v>0.9</v>
      </c>
      <c r="V98" s="223" t="s">
        <v>229</v>
      </c>
      <c r="W98" s="225" t="s">
        <v>240</v>
      </c>
      <c r="X98" s="16">
        <v>3.6</v>
      </c>
      <c r="Y98" s="17">
        <v>2.7</v>
      </c>
      <c r="Z98" s="18">
        <v>0</v>
      </c>
      <c r="AA98" s="46">
        <v>0</v>
      </c>
      <c r="AB98" s="327" t="s">
        <v>273</v>
      </c>
      <c r="AC98" s="29"/>
    </row>
    <row r="99" spans="1:29" s="20" customFormat="1" x14ac:dyDescent="0.3">
      <c r="A99" s="42">
        <v>43562</v>
      </c>
      <c r="B99" s="43">
        <v>5</v>
      </c>
      <c r="C99" s="14">
        <v>18.100000000000001</v>
      </c>
      <c r="D99" s="14">
        <v>8.6</v>
      </c>
      <c r="E99" s="14">
        <v>19.600000000000001</v>
      </c>
      <c r="F99" s="14">
        <v>3.8</v>
      </c>
      <c r="G99" s="80">
        <f t="shared" si="0"/>
        <v>15.8</v>
      </c>
      <c r="H99" s="68">
        <f t="shared" si="1"/>
        <v>10.074999999999999</v>
      </c>
      <c r="I99" s="82">
        <v>11</v>
      </c>
      <c r="J99" s="14">
        <v>8.9294536921537393</v>
      </c>
      <c r="K99" s="14">
        <v>3.4302944371705801</v>
      </c>
      <c r="L99" s="82">
        <v>6.4308344201816272</v>
      </c>
      <c r="M99" s="88">
        <v>99</v>
      </c>
      <c r="N99" s="24">
        <v>43.714285714285701</v>
      </c>
      <c r="O99" s="84">
        <v>77.676153273809518</v>
      </c>
      <c r="P99" s="122">
        <v>1009.39575832897</v>
      </c>
      <c r="Q99" s="21">
        <v>1006.77424923125</v>
      </c>
      <c r="R99" s="70">
        <v>1008.0398600853673</v>
      </c>
      <c r="S99" s="75">
        <v>6.1</v>
      </c>
      <c r="T99" s="65">
        <v>3.533946138545347</v>
      </c>
      <c r="U99" s="25">
        <v>1.3</v>
      </c>
      <c r="V99" s="223" t="s">
        <v>271</v>
      </c>
      <c r="W99" s="225"/>
      <c r="X99" s="16">
        <v>0</v>
      </c>
      <c r="Y99" s="17">
        <v>0</v>
      </c>
      <c r="Z99" s="18">
        <v>0</v>
      </c>
      <c r="AA99" s="46">
        <v>0</v>
      </c>
      <c r="AB99" s="327" t="s">
        <v>274</v>
      </c>
      <c r="AC99" s="29"/>
    </row>
    <row r="100" spans="1:29" s="20" customFormat="1" x14ac:dyDescent="0.3">
      <c r="A100" s="42">
        <v>43563</v>
      </c>
      <c r="B100" s="43">
        <v>6.3</v>
      </c>
      <c r="C100" s="14">
        <v>23.5</v>
      </c>
      <c r="D100" s="14">
        <v>14.4</v>
      </c>
      <c r="E100" s="14">
        <v>24.2</v>
      </c>
      <c r="F100" s="14">
        <v>1.7</v>
      </c>
      <c r="G100" s="80">
        <f t="shared" si="0"/>
        <v>22.5</v>
      </c>
      <c r="H100" s="68">
        <f t="shared" si="1"/>
        <v>14.65</v>
      </c>
      <c r="I100" s="82">
        <v>13.2</v>
      </c>
      <c r="J100" s="14">
        <v>9.1210561495692506</v>
      </c>
      <c r="K100" s="14">
        <v>1.5597661441274799</v>
      </c>
      <c r="L100" s="82">
        <v>5.5936850786213066</v>
      </c>
      <c r="M100" s="88">
        <v>99</v>
      </c>
      <c r="N100" s="24">
        <v>31</v>
      </c>
      <c r="O100" s="84">
        <v>63.637710813492077</v>
      </c>
      <c r="P100" s="122">
        <v>1007.8967165320699</v>
      </c>
      <c r="Q100" s="21">
        <v>1004.12724635406</v>
      </c>
      <c r="R100" s="70">
        <v>1006.1940903408534</v>
      </c>
      <c r="S100" s="75">
        <v>8.1999999999999993</v>
      </c>
      <c r="T100" s="65">
        <v>4.7000233636439308</v>
      </c>
      <c r="U100" s="25">
        <v>1.5</v>
      </c>
      <c r="V100" s="223" t="s">
        <v>227</v>
      </c>
      <c r="W100" s="225"/>
      <c r="X100" s="16">
        <v>0</v>
      </c>
      <c r="Y100" s="17">
        <v>0</v>
      </c>
      <c r="Z100" s="18">
        <v>0</v>
      </c>
      <c r="AA100" s="46">
        <v>0</v>
      </c>
      <c r="AB100" s="327" t="s">
        <v>257</v>
      </c>
      <c r="AC100" s="29"/>
    </row>
    <row r="101" spans="1:29" s="20" customFormat="1" x14ac:dyDescent="0.3">
      <c r="A101" s="42">
        <v>43564</v>
      </c>
      <c r="B101" s="43">
        <v>7.8</v>
      </c>
      <c r="C101" s="14">
        <v>20.5</v>
      </c>
      <c r="D101" s="14">
        <v>10.1</v>
      </c>
      <c r="E101" s="14">
        <v>22.5</v>
      </c>
      <c r="F101" s="14">
        <v>3.3</v>
      </c>
      <c r="G101" s="80">
        <f t="shared" si="0"/>
        <v>19.2</v>
      </c>
      <c r="H101" s="68">
        <f t="shared" si="1"/>
        <v>12.125</v>
      </c>
      <c r="I101" s="82">
        <v>13</v>
      </c>
      <c r="J101" s="14">
        <v>8.4230050053278802</v>
      </c>
      <c r="K101" s="14">
        <v>2.3415265574312301</v>
      </c>
      <c r="L101" s="82">
        <v>4.9868925870028296</v>
      </c>
      <c r="M101" s="88">
        <v>97</v>
      </c>
      <c r="N101" s="24">
        <v>37</v>
      </c>
      <c r="O101" s="84">
        <v>62.62679811507936</v>
      </c>
      <c r="P101" s="122">
        <v>1008.75539192657</v>
      </c>
      <c r="Q101" s="21">
        <v>1005.52443032393</v>
      </c>
      <c r="R101" s="70">
        <v>1006.7285645591562</v>
      </c>
      <c r="S101" s="75">
        <v>9.1999999999999993</v>
      </c>
      <c r="T101" s="65">
        <v>5.857171972930125</v>
      </c>
      <c r="U101" s="25">
        <v>1.7</v>
      </c>
      <c r="V101" s="223" t="s">
        <v>227</v>
      </c>
      <c r="W101" s="225"/>
      <c r="X101" s="16">
        <v>0</v>
      </c>
      <c r="Y101" s="17">
        <v>0</v>
      </c>
      <c r="Z101" s="18">
        <v>0</v>
      </c>
      <c r="AA101" s="46">
        <v>0</v>
      </c>
      <c r="AB101" s="327" t="s">
        <v>253</v>
      </c>
      <c r="AC101" s="29"/>
    </row>
    <row r="102" spans="1:29" s="20" customFormat="1" x14ac:dyDescent="0.3">
      <c r="A102" s="42">
        <v>43565</v>
      </c>
      <c r="B102" s="43">
        <v>9.8000000000000007</v>
      </c>
      <c r="C102" s="14">
        <v>15.8</v>
      </c>
      <c r="D102" s="14">
        <v>7.7</v>
      </c>
      <c r="E102" s="14">
        <v>18.8</v>
      </c>
      <c r="F102" s="14">
        <v>6.5</v>
      </c>
      <c r="G102" s="80">
        <f t="shared" si="0"/>
        <v>12.3</v>
      </c>
      <c r="H102" s="68">
        <f t="shared" si="1"/>
        <v>10.25</v>
      </c>
      <c r="I102" s="82">
        <v>10.8</v>
      </c>
      <c r="J102" s="14">
        <v>6.3485200064370702</v>
      </c>
      <c r="K102" s="14">
        <v>-0.76759903904613902</v>
      </c>
      <c r="L102" s="82">
        <v>2.9320305833994231</v>
      </c>
      <c r="M102" s="88">
        <v>78</v>
      </c>
      <c r="N102" s="24">
        <v>43</v>
      </c>
      <c r="O102" s="84">
        <v>59.087611607142861</v>
      </c>
      <c r="P102" s="122">
        <v>1012.52480075752</v>
      </c>
      <c r="Q102" s="21">
        <v>1008.6535153097</v>
      </c>
      <c r="R102" s="70">
        <v>1010.5214197666678</v>
      </c>
      <c r="S102" s="75">
        <v>9.5</v>
      </c>
      <c r="T102" s="65">
        <v>5.9428866847291122</v>
      </c>
      <c r="U102" s="25">
        <v>3.1</v>
      </c>
      <c r="V102" s="223" t="s">
        <v>229</v>
      </c>
      <c r="W102" s="225"/>
      <c r="X102" s="16">
        <v>0</v>
      </c>
      <c r="Y102" s="17">
        <v>0</v>
      </c>
      <c r="Z102" s="18">
        <v>0</v>
      </c>
      <c r="AA102" s="46">
        <v>0</v>
      </c>
      <c r="AB102" s="327" t="s">
        <v>251</v>
      </c>
      <c r="AC102" s="29"/>
    </row>
    <row r="103" spans="1:29" s="20" customFormat="1" x14ac:dyDescent="0.3">
      <c r="A103" s="42">
        <v>43566</v>
      </c>
      <c r="B103" s="43">
        <v>7.1</v>
      </c>
      <c r="C103" s="14">
        <v>9.4</v>
      </c>
      <c r="D103" s="14">
        <v>4.8</v>
      </c>
      <c r="E103" s="14">
        <v>10.8</v>
      </c>
      <c r="F103" s="14">
        <v>3.3</v>
      </c>
      <c r="G103" s="80">
        <f t="shared" si="0"/>
        <v>7.5000000000000009</v>
      </c>
      <c r="H103" s="68">
        <f t="shared" si="1"/>
        <v>6.5250000000000004</v>
      </c>
      <c r="I103" s="82">
        <v>7.1</v>
      </c>
      <c r="J103" s="14">
        <v>2.2083834063530801</v>
      </c>
      <c r="K103" s="14">
        <v>-0.81893399384438703</v>
      </c>
      <c r="L103" s="82">
        <v>0.83631754700818106</v>
      </c>
      <c r="M103" s="88">
        <v>90</v>
      </c>
      <c r="N103" s="24">
        <v>52.428571428571402</v>
      </c>
      <c r="O103" s="84">
        <v>66.532676091269821</v>
      </c>
      <c r="P103" s="122">
        <v>1017.61851753361</v>
      </c>
      <c r="Q103" s="21">
        <v>1011.75345861168</v>
      </c>
      <c r="R103" s="70">
        <v>1014.7542904010913</v>
      </c>
      <c r="S103" s="75">
        <v>11.2</v>
      </c>
      <c r="T103" s="65">
        <v>6.442889170223153</v>
      </c>
      <c r="U103" s="25">
        <v>3.6</v>
      </c>
      <c r="V103" s="223" t="s">
        <v>227</v>
      </c>
      <c r="W103" s="225" t="s">
        <v>240</v>
      </c>
      <c r="X103" s="16">
        <v>2.4</v>
      </c>
      <c r="Y103" s="17">
        <v>2.2999999999999998</v>
      </c>
      <c r="Z103" s="18">
        <v>0</v>
      </c>
      <c r="AA103" s="46">
        <v>0</v>
      </c>
      <c r="AB103" s="327" t="s">
        <v>248</v>
      </c>
      <c r="AC103" s="29"/>
    </row>
    <row r="104" spans="1:29" s="20" customFormat="1" x14ac:dyDescent="0.3">
      <c r="A104" s="42">
        <v>43567</v>
      </c>
      <c r="B104" s="43">
        <v>3.5</v>
      </c>
      <c r="C104" s="14">
        <v>5.9</v>
      </c>
      <c r="D104" s="14">
        <v>4.0999999999999996</v>
      </c>
      <c r="E104" s="14">
        <v>5.9</v>
      </c>
      <c r="F104" s="14">
        <v>3.3</v>
      </c>
      <c r="G104" s="80">
        <f t="shared" si="0"/>
        <v>2.6000000000000005</v>
      </c>
      <c r="H104" s="68">
        <f t="shared" si="1"/>
        <v>4.4000000000000004</v>
      </c>
      <c r="I104" s="82">
        <v>4</v>
      </c>
      <c r="J104" s="14">
        <v>2.6747589368012599</v>
      </c>
      <c r="K104" s="14">
        <v>-0.122552983991062</v>
      </c>
      <c r="L104" s="82">
        <v>1.4661851988308647</v>
      </c>
      <c r="M104" s="88">
        <v>90</v>
      </c>
      <c r="N104" s="24">
        <v>78.428571428571402</v>
      </c>
      <c r="O104" s="84">
        <v>83.479042658730151</v>
      </c>
      <c r="P104" s="122">
        <v>1018.78278296622</v>
      </c>
      <c r="Q104" s="21">
        <v>1016.6052389412</v>
      </c>
      <c r="R104" s="70">
        <v>1017.7170994769817</v>
      </c>
      <c r="S104" s="75">
        <v>7.8</v>
      </c>
      <c r="T104" s="65">
        <v>4.6491302535132917</v>
      </c>
      <c r="U104" s="25">
        <v>3</v>
      </c>
      <c r="V104" s="223" t="s">
        <v>227</v>
      </c>
      <c r="W104" s="225" t="s">
        <v>240</v>
      </c>
      <c r="X104" s="16">
        <v>2.4</v>
      </c>
      <c r="Y104" s="17">
        <v>1.2</v>
      </c>
      <c r="Z104" s="18">
        <v>0</v>
      </c>
      <c r="AA104" s="46">
        <v>0</v>
      </c>
      <c r="AB104" s="327" t="s">
        <v>248</v>
      </c>
      <c r="AC104" s="29"/>
    </row>
    <row r="105" spans="1:29" s="20" customFormat="1" x14ac:dyDescent="0.3">
      <c r="A105" s="42">
        <v>43568</v>
      </c>
      <c r="B105" s="43">
        <v>3.9</v>
      </c>
      <c r="C105" s="14">
        <v>17.100000000000001</v>
      </c>
      <c r="D105" s="14">
        <v>8.6</v>
      </c>
      <c r="E105" s="14">
        <v>17.5</v>
      </c>
      <c r="F105" s="14">
        <v>2.8</v>
      </c>
      <c r="G105" s="80">
        <f t="shared" si="0"/>
        <v>14.7</v>
      </c>
      <c r="H105" s="68">
        <f t="shared" si="1"/>
        <v>9.5500000000000007</v>
      </c>
      <c r="I105" s="82">
        <v>8.5</v>
      </c>
      <c r="J105" s="14">
        <v>6.91608723881484</v>
      </c>
      <c r="K105" s="14">
        <v>-1.1387056107643001</v>
      </c>
      <c r="L105" s="82">
        <v>1.9105415269969743</v>
      </c>
      <c r="M105" s="88">
        <v>86</v>
      </c>
      <c r="N105" s="24">
        <v>40.5</v>
      </c>
      <c r="O105" s="84">
        <v>65.609305486900666</v>
      </c>
      <c r="P105" s="122">
        <v>1017.85137099844</v>
      </c>
      <c r="Q105" s="21">
        <v>1014.54228724653</v>
      </c>
      <c r="R105" s="70">
        <v>1016.526320448622</v>
      </c>
      <c r="S105" s="75">
        <v>10.5</v>
      </c>
      <c r="T105" s="65">
        <v>7.4857514971107078</v>
      </c>
      <c r="U105" s="25">
        <v>2.7</v>
      </c>
      <c r="V105" s="223" t="s">
        <v>227</v>
      </c>
      <c r="W105" s="319"/>
      <c r="X105" s="26">
        <v>0</v>
      </c>
      <c r="Y105" s="27">
        <v>0</v>
      </c>
      <c r="Z105" s="28">
        <v>0</v>
      </c>
      <c r="AA105" s="30">
        <v>0</v>
      </c>
      <c r="AB105" s="328" t="s">
        <v>248</v>
      </c>
      <c r="AC105" s="29"/>
    </row>
    <row r="106" spans="1:29" s="20" customFormat="1" x14ac:dyDescent="0.3">
      <c r="A106" s="42">
        <v>43569</v>
      </c>
      <c r="B106" s="43">
        <v>2.7</v>
      </c>
      <c r="C106" s="14">
        <v>15</v>
      </c>
      <c r="D106" s="14">
        <v>7.5</v>
      </c>
      <c r="E106" s="14">
        <v>16.5</v>
      </c>
      <c r="F106" s="14">
        <v>-0.2</v>
      </c>
      <c r="G106" s="80">
        <f t="shared" si="0"/>
        <v>16.7</v>
      </c>
      <c r="H106" s="68">
        <f t="shared" si="1"/>
        <v>8.1750000000000007</v>
      </c>
      <c r="I106" s="82">
        <v>8.3000000000000007</v>
      </c>
      <c r="J106" s="14">
        <v>4.4709218418065397</v>
      </c>
      <c r="K106" s="14">
        <v>-8.9761444335212701</v>
      </c>
      <c r="L106" s="82">
        <v>-2.0326438156109532</v>
      </c>
      <c r="M106" s="88">
        <v>92</v>
      </c>
      <c r="N106" s="24">
        <v>20.5</v>
      </c>
      <c r="O106" s="84">
        <v>53.047805059523768</v>
      </c>
      <c r="P106" s="122">
        <v>1020.96031050785</v>
      </c>
      <c r="Q106" s="21">
        <v>1016.48335419645</v>
      </c>
      <c r="R106" s="70">
        <v>1017.8745787306411</v>
      </c>
      <c r="S106" s="75">
        <v>11.9</v>
      </c>
      <c r="T106" s="65">
        <v>8.3536129540753468</v>
      </c>
      <c r="U106" s="25">
        <v>2.4</v>
      </c>
      <c r="V106" s="223" t="s">
        <v>254</v>
      </c>
      <c r="W106" s="226"/>
      <c r="X106" s="26">
        <v>0</v>
      </c>
      <c r="Y106" s="27">
        <v>0</v>
      </c>
      <c r="Z106" s="28">
        <v>0</v>
      </c>
      <c r="AA106" s="30">
        <v>0</v>
      </c>
      <c r="AB106" s="328" t="s">
        <v>248</v>
      </c>
      <c r="AC106" s="29"/>
    </row>
    <row r="107" spans="1:29" s="20" customFormat="1" x14ac:dyDescent="0.3">
      <c r="A107" s="42">
        <v>43570</v>
      </c>
      <c r="B107" s="43">
        <v>5.4</v>
      </c>
      <c r="C107" s="14">
        <v>14.3</v>
      </c>
      <c r="D107" s="14">
        <v>5</v>
      </c>
      <c r="E107" s="14">
        <v>14.9</v>
      </c>
      <c r="F107" s="14">
        <v>-1.5</v>
      </c>
      <c r="G107" s="80">
        <f t="shared" si="0"/>
        <v>16.399999999999999</v>
      </c>
      <c r="H107" s="68">
        <f t="shared" si="1"/>
        <v>7.4250000000000007</v>
      </c>
      <c r="I107" s="82">
        <v>6.9</v>
      </c>
      <c r="J107" s="14">
        <v>-0.74059499224794101</v>
      </c>
      <c r="K107" s="14">
        <v>-7.8619172968099296</v>
      </c>
      <c r="L107" s="82">
        <v>-4.6453908171548282</v>
      </c>
      <c r="M107" s="88">
        <v>76</v>
      </c>
      <c r="N107" s="24">
        <v>26</v>
      </c>
      <c r="O107" s="84">
        <v>47.765997023809497</v>
      </c>
      <c r="P107" s="122">
        <v>1023.04686494194</v>
      </c>
      <c r="Q107" s="21">
        <v>1020.92210842054</v>
      </c>
      <c r="R107" s="70">
        <v>1022.0160827875275</v>
      </c>
      <c r="S107" s="75">
        <v>10.199999999999999</v>
      </c>
      <c r="T107" s="65">
        <v>6.6964618592951108</v>
      </c>
      <c r="U107" s="25">
        <v>2.7</v>
      </c>
      <c r="V107" s="223" t="s">
        <v>229</v>
      </c>
      <c r="W107" s="226"/>
      <c r="X107" s="26">
        <v>0</v>
      </c>
      <c r="Y107" s="27">
        <v>0</v>
      </c>
      <c r="Z107" s="28">
        <v>0</v>
      </c>
      <c r="AA107" s="30">
        <v>0</v>
      </c>
      <c r="AB107" s="328" t="s">
        <v>275</v>
      </c>
      <c r="AC107" s="29"/>
    </row>
    <row r="108" spans="1:29" s="20" customFormat="1" x14ac:dyDescent="0.3">
      <c r="A108" s="42">
        <v>43571</v>
      </c>
      <c r="B108" s="43">
        <v>0.2</v>
      </c>
      <c r="C108" s="14">
        <v>15.3</v>
      </c>
      <c r="D108" s="14">
        <v>6.9</v>
      </c>
      <c r="E108" s="14">
        <v>15.8</v>
      </c>
      <c r="F108" s="14">
        <v>-5.2</v>
      </c>
      <c r="G108" s="80">
        <f t="shared" si="0"/>
        <v>21</v>
      </c>
      <c r="H108" s="68">
        <f t="shared" si="1"/>
        <v>7.3250000000000002</v>
      </c>
      <c r="I108" s="82">
        <v>6.5</v>
      </c>
      <c r="J108" s="14">
        <v>2.3450005629645898</v>
      </c>
      <c r="K108" s="14">
        <v>-9.0985094986835602</v>
      </c>
      <c r="L108" s="82">
        <v>-3.97201980230657</v>
      </c>
      <c r="M108" s="88">
        <v>82</v>
      </c>
      <c r="N108" s="24">
        <v>20.8571428571429</v>
      </c>
      <c r="O108" s="84">
        <v>51.858630952380956</v>
      </c>
      <c r="P108" s="122">
        <v>1023.4252445954299</v>
      </c>
      <c r="Q108" s="21">
        <v>1019.3649139054299</v>
      </c>
      <c r="R108" s="70">
        <v>1021.6803225721131</v>
      </c>
      <c r="S108" s="75">
        <v>10.9</v>
      </c>
      <c r="T108" s="65">
        <v>7.6643238133585694</v>
      </c>
      <c r="U108" s="25">
        <v>2.7</v>
      </c>
      <c r="V108" s="223" t="s">
        <v>229</v>
      </c>
      <c r="W108" s="226" t="s">
        <v>223</v>
      </c>
      <c r="X108" s="26">
        <v>0</v>
      </c>
      <c r="Y108" s="27">
        <v>0</v>
      </c>
      <c r="Z108" s="28">
        <v>0</v>
      </c>
      <c r="AA108" s="30">
        <v>0</v>
      </c>
      <c r="AB108" s="328" t="s">
        <v>250</v>
      </c>
      <c r="AC108" s="29"/>
    </row>
    <row r="109" spans="1:29" s="20" customFormat="1" x14ac:dyDescent="0.3">
      <c r="A109" s="42">
        <v>43572</v>
      </c>
      <c r="B109" s="43">
        <v>6.8</v>
      </c>
      <c r="C109" s="14">
        <v>11.6</v>
      </c>
      <c r="D109" s="14">
        <v>8.6999999999999993</v>
      </c>
      <c r="E109" s="14">
        <v>12.9</v>
      </c>
      <c r="F109" s="14">
        <v>5.6</v>
      </c>
      <c r="G109" s="80">
        <f t="shared" si="0"/>
        <v>7.3000000000000007</v>
      </c>
      <c r="H109" s="68">
        <f t="shared" si="1"/>
        <v>8.9499999999999993</v>
      </c>
      <c r="I109" s="82">
        <v>8.8000000000000007</v>
      </c>
      <c r="J109" s="14">
        <v>5.5742421019907198</v>
      </c>
      <c r="K109" s="14">
        <v>2.3450005629645898</v>
      </c>
      <c r="L109" s="82">
        <v>4.479014693759602</v>
      </c>
      <c r="M109" s="88">
        <v>85</v>
      </c>
      <c r="N109" s="24">
        <v>57</v>
      </c>
      <c r="O109" s="84">
        <v>73.953807043650798</v>
      </c>
      <c r="P109" s="122">
        <v>1026.62689888001</v>
      </c>
      <c r="Q109" s="21">
        <v>1020.7329169957</v>
      </c>
      <c r="R109" s="70">
        <v>1023.4855230116979</v>
      </c>
      <c r="S109" s="75">
        <v>9.9</v>
      </c>
      <c r="T109" s="65">
        <v>5.8214575096805685</v>
      </c>
      <c r="U109" s="25">
        <v>2.1</v>
      </c>
      <c r="V109" s="223" t="s">
        <v>229</v>
      </c>
      <c r="W109" s="226" t="s">
        <v>223</v>
      </c>
      <c r="X109" s="26">
        <v>0</v>
      </c>
      <c r="Y109" s="27">
        <v>0</v>
      </c>
      <c r="Z109" s="28">
        <v>0</v>
      </c>
      <c r="AA109" s="30">
        <v>0</v>
      </c>
      <c r="AB109" s="328" t="s">
        <v>262</v>
      </c>
      <c r="AC109" s="29"/>
    </row>
    <row r="110" spans="1:29" s="20" customFormat="1" x14ac:dyDescent="0.3">
      <c r="A110" s="42">
        <v>43573</v>
      </c>
      <c r="B110" s="43">
        <v>6.2</v>
      </c>
      <c r="C110" s="14">
        <v>19.7</v>
      </c>
      <c r="D110" s="14">
        <v>8</v>
      </c>
      <c r="E110" s="14">
        <v>19.7</v>
      </c>
      <c r="F110" s="14">
        <v>2.9</v>
      </c>
      <c r="G110" s="80">
        <f t="shared" si="0"/>
        <v>16.8</v>
      </c>
      <c r="H110" s="68">
        <f t="shared" si="1"/>
        <v>10.475</v>
      </c>
      <c r="I110" s="82">
        <v>11.3</v>
      </c>
      <c r="J110" s="14">
        <v>7.7620367012199196</v>
      </c>
      <c r="K110" s="14">
        <v>-1.4989964164717799</v>
      </c>
      <c r="L110" s="82">
        <v>2.9535755214823678</v>
      </c>
      <c r="M110" s="88">
        <v>93</v>
      </c>
      <c r="N110" s="24">
        <v>31.285714285714299</v>
      </c>
      <c r="O110" s="84">
        <v>62.245039682539677</v>
      </c>
      <c r="P110" s="122">
        <v>1029.7994123667399</v>
      </c>
      <c r="Q110" s="21">
        <v>1026.46681699071</v>
      </c>
      <c r="R110" s="70">
        <v>1028.4932433574941</v>
      </c>
      <c r="S110" s="75">
        <v>8.8000000000000007</v>
      </c>
      <c r="T110" s="65">
        <v>5.6544923939888054</v>
      </c>
      <c r="U110" s="25">
        <v>1.8</v>
      </c>
      <c r="V110" s="223" t="s">
        <v>254</v>
      </c>
      <c r="W110" s="226"/>
      <c r="X110" s="26">
        <v>0</v>
      </c>
      <c r="Y110" s="27">
        <v>0</v>
      </c>
      <c r="Z110" s="28">
        <v>0</v>
      </c>
      <c r="AA110" s="30">
        <v>0</v>
      </c>
      <c r="AB110" s="328" t="s">
        <v>257</v>
      </c>
      <c r="AC110" s="29"/>
    </row>
    <row r="111" spans="1:29" s="20" customFormat="1" x14ac:dyDescent="0.3">
      <c r="A111" s="42">
        <v>43574</v>
      </c>
      <c r="B111" s="43">
        <v>3.6</v>
      </c>
      <c r="C111" s="14">
        <v>20.2</v>
      </c>
      <c r="D111" s="14">
        <v>8.5</v>
      </c>
      <c r="E111" s="14">
        <v>20.399999999999999</v>
      </c>
      <c r="F111" s="14">
        <v>-0.9</v>
      </c>
      <c r="G111" s="80">
        <f t="shared" si="0"/>
        <v>21.299999999999997</v>
      </c>
      <c r="H111" s="68">
        <f t="shared" si="1"/>
        <v>10.199999999999999</v>
      </c>
      <c r="I111" s="82">
        <v>10.5</v>
      </c>
      <c r="J111" s="14">
        <v>4.3064490957183201</v>
      </c>
      <c r="K111" s="14">
        <v>-5.6489444776286497</v>
      </c>
      <c r="L111" s="82">
        <v>-2.1578073618207889</v>
      </c>
      <c r="M111" s="88">
        <v>91.5</v>
      </c>
      <c r="N111" s="24">
        <v>20</v>
      </c>
      <c r="O111" s="84">
        <v>49.24795386904762</v>
      </c>
      <c r="P111" s="122">
        <v>1029.47925205207</v>
      </c>
      <c r="Q111" s="21">
        <v>1027.64559963278</v>
      </c>
      <c r="R111" s="70">
        <v>1028.8321966379965</v>
      </c>
      <c r="S111" s="75">
        <v>13.3</v>
      </c>
      <c r="T111" s="65">
        <v>6.8500340512682918</v>
      </c>
      <c r="U111" s="25">
        <v>2.4</v>
      </c>
      <c r="V111" s="223" t="s">
        <v>254</v>
      </c>
      <c r="W111" s="226"/>
      <c r="X111" s="26">
        <v>0</v>
      </c>
      <c r="Y111" s="27">
        <v>0</v>
      </c>
      <c r="Z111" s="28">
        <v>0</v>
      </c>
      <c r="AA111" s="30">
        <v>0</v>
      </c>
      <c r="AB111" s="328" t="s">
        <v>270</v>
      </c>
      <c r="AC111" s="29"/>
    </row>
    <row r="112" spans="1:29" s="20" customFormat="1" x14ac:dyDescent="0.3">
      <c r="A112" s="42">
        <v>43575</v>
      </c>
      <c r="B112" s="43">
        <v>3.3</v>
      </c>
      <c r="C112" s="14">
        <v>22.1</v>
      </c>
      <c r="D112" s="14">
        <v>10.5</v>
      </c>
      <c r="E112" s="14">
        <v>22.4</v>
      </c>
      <c r="F112" s="14">
        <v>-1.9</v>
      </c>
      <c r="G112" s="80">
        <f t="shared" si="0"/>
        <v>24.299999999999997</v>
      </c>
      <c r="H112" s="68">
        <f t="shared" si="1"/>
        <v>11.600000000000001</v>
      </c>
      <c r="I112" s="82">
        <v>10.9</v>
      </c>
      <c r="J112" s="14">
        <v>1.28442892221472</v>
      </c>
      <c r="K112" s="14">
        <v>-4.9424159791538598</v>
      </c>
      <c r="L112" s="82">
        <v>-1.6013508223213178</v>
      </c>
      <c r="M112" s="88">
        <v>90</v>
      </c>
      <c r="N112" s="24">
        <v>16.428571428571399</v>
      </c>
      <c r="O112" s="84">
        <v>48.888702876984091</v>
      </c>
      <c r="P112" s="122">
        <v>1029.63933227042</v>
      </c>
      <c r="Q112" s="21">
        <v>1023.04686494194</v>
      </c>
      <c r="R112" s="70">
        <v>1026.3104323125121</v>
      </c>
      <c r="S112" s="75">
        <v>8.1999999999999993</v>
      </c>
      <c r="T112" s="65">
        <v>5.8571719729301392</v>
      </c>
      <c r="U112" s="25">
        <v>1.4</v>
      </c>
      <c r="V112" s="223" t="s">
        <v>229</v>
      </c>
      <c r="W112" s="226"/>
      <c r="X112" s="26">
        <v>0</v>
      </c>
      <c r="Y112" s="27">
        <v>0</v>
      </c>
      <c r="Z112" s="28">
        <v>0</v>
      </c>
      <c r="AA112" s="30">
        <v>0</v>
      </c>
      <c r="AB112" s="328" t="s">
        <v>250</v>
      </c>
      <c r="AC112" s="29"/>
    </row>
    <row r="113" spans="1:29" s="20" customFormat="1" x14ac:dyDescent="0.3">
      <c r="A113" s="42">
        <v>43576</v>
      </c>
      <c r="B113" s="43">
        <v>5.0999999999999996</v>
      </c>
      <c r="C113" s="14">
        <v>20.5</v>
      </c>
      <c r="D113" s="14">
        <v>10.1</v>
      </c>
      <c r="E113" s="14">
        <v>20.6</v>
      </c>
      <c r="F113" s="14">
        <v>1.1000000000000001</v>
      </c>
      <c r="G113" s="80">
        <f t="shared" si="0"/>
        <v>19.5</v>
      </c>
      <c r="H113" s="68">
        <f t="shared" si="1"/>
        <v>11.45</v>
      </c>
      <c r="I113" s="82">
        <v>11</v>
      </c>
      <c r="J113" s="14">
        <v>3.8029474651865001</v>
      </c>
      <c r="K113" s="14">
        <v>-1.7409845676886599</v>
      </c>
      <c r="L113" s="82">
        <v>1.8028325107374004</v>
      </c>
      <c r="M113" s="88">
        <v>90</v>
      </c>
      <c r="N113" s="24">
        <v>30</v>
      </c>
      <c r="O113" s="84">
        <v>58.006076388888879</v>
      </c>
      <c r="P113" s="122">
        <v>1023.09052415223</v>
      </c>
      <c r="Q113" s="21">
        <v>1017.45843067308</v>
      </c>
      <c r="R113" s="70">
        <v>1020.1178993126372</v>
      </c>
      <c r="S113" s="75">
        <v>8.5</v>
      </c>
      <c r="T113" s="65">
        <v>5.5285989110340417</v>
      </c>
      <c r="U113" s="25">
        <v>1.7</v>
      </c>
      <c r="V113" s="223" t="s">
        <v>229</v>
      </c>
      <c r="W113" s="226"/>
      <c r="X113" s="26">
        <v>0</v>
      </c>
      <c r="Y113" s="27">
        <v>0</v>
      </c>
      <c r="Z113" s="28">
        <v>0</v>
      </c>
      <c r="AA113" s="30">
        <v>0</v>
      </c>
      <c r="AB113" s="328" t="s">
        <v>251</v>
      </c>
      <c r="AC113" s="29"/>
    </row>
    <row r="114" spans="1:29" s="20" customFormat="1" x14ac:dyDescent="0.3">
      <c r="A114" s="42">
        <v>43577</v>
      </c>
      <c r="B114" s="43">
        <v>7.4</v>
      </c>
      <c r="C114" s="14">
        <v>14.5</v>
      </c>
      <c r="D114" s="14">
        <v>9.9</v>
      </c>
      <c r="E114" s="14">
        <v>18.2</v>
      </c>
      <c r="F114" s="14">
        <v>3.1</v>
      </c>
      <c r="G114" s="68">
        <f t="shared" si="0"/>
        <v>15.1</v>
      </c>
      <c r="H114" s="68">
        <f t="shared" si="1"/>
        <v>10.425000000000001</v>
      </c>
      <c r="I114" s="82">
        <v>9</v>
      </c>
      <c r="J114" s="14">
        <v>7.7383449167536504</v>
      </c>
      <c r="K114" s="14">
        <v>1.14884867386731</v>
      </c>
      <c r="L114" s="82">
        <v>5.1211661635855981</v>
      </c>
      <c r="M114" s="88">
        <v>92</v>
      </c>
      <c r="N114" s="24">
        <v>35.875</v>
      </c>
      <c r="O114" s="84">
        <v>76.778459821428555</v>
      </c>
      <c r="P114" s="122">
        <v>1019.77240486911</v>
      </c>
      <c r="Q114" s="21">
        <v>1016.65799499809</v>
      </c>
      <c r="R114" s="70">
        <v>1018.2507206265212</v>
      </c>
      <c r="S114" s="75">
        <v>8.8000000000000007</v>
      </c>
      <c r="T114" s="65">
        <v>6.0928874303773188</v>
      </c>
      <c r="U114" s="25">
        <v>1.3</v>
      </c>
      <c r="V114" s="223" t="s">
        <v>254</v>
      </c>
      <c r="W114" s="226" t="s">
        <v>240</v>
      </c>
      <c r="X114" s="26">
        <v>4.8</v>
      </c>
      <c r="Y114" s="27">
        <v>3.6</v>
      </c>
      <c r="Z114" s="28">
        <v>0</v>
      </c>
      <c r="AA114" s="30">
        <v>0</v>
      </c>
      <c r="AB114" s="328" t="s">
        <v>258</v>
      </c>
      <c r="AC114" s="29"/>
    </row>
    <row r="115" spans="1:29" s="20" customFormat="1" x14ac:dyDescent="0.3">
      <c r="A115" s="42">
        <v>43578</v>
      </c>
      <c r="B115" s="43">
        <v>7.6</v>
      </c>
      <c r="C115" s="14">
        <v>16.2</v>
      </c>
      <c r="D115" s="14">
        <v>11.8</v>
      </c>
      <c r="E115" s="14">
        <v>17.3</v>
      </c>
      <c r="F115" s="14">
        <v>7.5</v>
      </c>
      <c r="G115" s="68">
        <f t="shared" si="0"/>
        <v>9.8000000000000007</v>
      </c>
      <c r="H115" s="68">
        <f t="shared" si="1"/>
        <v>11.85</v>
      </c>
      <c r="I115" s="82">
        <v>11.5</v>
      </c>
      <c r="J115" s="14">
        <v>9.2377626878256205</v>
      </c>
      <c r="K115" s="14">
        <v>1.890714409513</v>
      </c>
      <c r="L115" s="82">
        <v>5.5154980851564126</v>
      </c>
      <c r="M115" s="88">
        <v>92.428571428571402</v>
      </c>
      <c r="N115" s="24">
        <v>41</v>
      </c>
      <c r="O115" s="84">
        <v>67.340339781746053</v>
      </c>
      <c r="P115" s="122">
        <v>1021.06764018345</v>
      </c>
      <c r="Q115" s="21">
        <v>1017.61851753361</v>
      </c>
      <c r="R115" s="70">
        <v>1019.2273384711239</v>
      </c>
      <c r="S115" s="75">
        <v>10.9</v>
      </c>
      <c r="T115" s="65">
        <v>7.178607113164361</v>
      </c>
      <c r="U115" s="25">
        <v>1.9</v>
      </c>
      <c r="V115" s="223" t="s">
        <v>230</v>
      </c>
      <c r="W115" s="226" t="s">
        <v>223</v>
      </c>
      <c r="X115" s="26">
        <v>0</v>
      </c>
      <c r="Y115" s="27">
        <v>0</v>
      </c>
      <c r="Z115" s="28">
        <v>0</v>
      </c>
      <c r="AA115" s="30">
        <v>0</v>
      </c>
      <c r="AB115" s="328" t="s">
        <v>251</v>
      </c>
      <c r="AC115" s="29"/>
    </row>
    <row r="116" spans="1:29" s="20" customFormat="1" x14ac:dyDescent="0.3">
      <c r="A116" s="42">
        <v>43579</v>
      </c>
      <c r="B116" s="43">
        <v>11</v>
      </c>
      <c r="C116" s="14">
        <v>15.6</v>
      </c>
      <c r="D116" s="14">
        <v>11.4</v>
      </c>
      <c r="E116" s="14">
        <v>18.3</v>
      </c>
      <c r="F116" s="14">
        <v>8.8000000000000007</v>
      </c>
      <c r="G116" s="68">
        <f t="shared" si="0"/>
        <v>9.5</v>
      </c>
      <c r="H116" s="68">
        <f t="shared" si="1"/>
        <v>12.350000000000001</v>
      </c>
      <c r="I116" s="82">
        <v>12.8</v>
      </c>
      <c r="J116" s="14">
        <v>8.4691783954548505</v>
      </c>
      <c r="K116" s="14">
        <v>4.4527634554073297</v>
      </c>
      <c r="L116" s="82">
        <v>6.3866654859741123</v>
      </c>
      <c r="M116" s="88">
        <v>87</v>
      </c>
      <c r="N116" s="24">
        <v>50</v>
      </c>
      <c r="O116" s="84">
        <v>66.382330827067676</v>
      </c>
      <c r="P116" s="122">
        <v>1021.22772504715</v>
      </c>
      <c r="Q116" s="21">
        <v>1017.98235098316</v>
      </c>
      <c r="R116" s="70">
        <v>1019.4057148746256</v>
      </c>
      <c r="S116" s="75">
        <v>11.2</v>
      </c>
      <c r="T116" s="65">
        <v>6.8000169013384442</v>
      </c>
      <c r="U116" s="25">
        <v>3.1</v>
      </c>
      <c r="V116" s="223" t="s">
        <v>230</v>
      </c>
      <c r="W116" s="226"/>
      <c r="X116" s="26">
        <v>0</v>
      </c>
      <c r="Y116" s="27">
        <v>0</v>
      </c>
      <c r="Z116" s="28">
        <v>0</v>
      </c>
      <c r="AA116" s="30">
        <v>0</v>
      </c>
      <c r="AB116" s="328" t="s">
        <v>248</v>
      </c>
      <c r="AC116" s="29"/>
    </row>
    <row r="117" spans="1:29" s="20" customFormat="1" x14ac:dyDescent="0.3">
      <c r="A117" s="42">
        <v>43580</v>
      </c>
      <c r="B117" s="43">
        <v>15.6</v>
      </c>
      <c r="C117" s="14">
        <v>21.9</v>
      </c>
      <c r="D117" s="14">
        <v>14.7</v>
      </c>
      <c r="E117" s="14">
        <v>23.6</v>
      </c>
      <c r="F117" s="14">
        <v>8.6</v>
      </c>
      <c r="G117" s="68">
        <f t="shared" si="0"/>
        <v>15.000000000000002</v>
      </c>
      <c r="H117" s="68">
        <f t="shared" si="1"/>
        <v>16.725000000000001</v>
      </c>
      <c r="I117" s="82">
        <v>16.399999999999999</v>
      </c>
      <c r="J117" s="14">
        <v>12.0519930633972</v>
      </c>
      <c r="K117" s="14">
        <v>6.4418835537516701</v>
      </c>
      <c r="L117" s="82">
        <v>9.1829593853826026</v>
      </c>
      <c r="M117" s="88">
        <v>91</v>
      </c>
      <c r="N117" s="24">
        <v>40</v>
      </c>
      <c r="O117" s="84">
        <v>65.072664359861562</v>
      </c>
      <c r="P117" s="122">
        <v>1019.13206167183</v>
      </c>
      <c r="Q117" s="21">
        <v>1015.8866639843</v>
      </c>
      <c r="R117" s="70">
        <v>1017.3797385664182</v>
      </c>
      <c r="S117" s="75">
        <v>11.2</v>
      </c>
      <c r="T117" s="65">
        <v>6.971463226316847</v>
      </c>
      <c r="U117" s="25">
        <v>3</v>
      </c>
      <c r="V117" s="223" t="s">
        <v>230</v>
      </c>
      <c r="W117" s="226"/>
      <c r="X117" s="26">
        <v>0</v>
      </c>
      <c r="Y117" s="27">
        <v>0</v>
      </c>
      <c r="Z117" s="28">
        <v>0</v>
      </c>
      <c r="AA117" s="30">
        <v>0</v>
      </c>
      <c r="AB117" s="328" t="s">
        <v>252</v>
      </c>
      <c r="AC117" s="29"/>
    </row>
    <row r="118" spans="1:29" s="20" customFormat="1" x14ac:dyDescent="0.3">
      <c r="A118" s="42">
        <v>43581</v>
      </c>
      <c r="B118" s="43">
        <v>12.4</v>
      </c>
      <c r="C118" s="14">
        <v>26.5</v>
      </c>
      <c r="D118" s="14">
        <v>17.600000000000001</v>
      </c>
      <c r="E118" s="14">
        <v>27.1</v>
      </c>
      <c r="F118" s="14">
        <v>6.1</v>
      </c>
      <c r="G118" s="68">
        <f t="shared" si="0"/>
        <v>21</v>
      </c>
      <c r="H118" s="68">
        <f t="shared" si="1"/>
        <v>18.524999999999999</v>
      </c>
      <c r="I118" s="82">
        <v>17.5</v>
      </c>
      <c r="J118" s="14">
        <v>11.88552893866</v>
      </c>
      <c r="K118" s="14">
        <v>5.2357336963596097</v>
      </c>
      <c r="L118" s="82">
        <v>9.1021700552067877</v>
      </c>
      <c r="M118" s="88">
        <v>99</v>
      </c>
      <c r="N118" s="24">
        <v>31</v>
      </c>
      <c r="O118" s="84">
        <v>62.519159226190467</v>
      </c>
      <c r="P118" s="122">
        <v>1016.0758585726001</v>
      </c>
      <c r="Q118" s="21">
        <v>1010.6182720189</v>
      </c>
      <c r="R118" s="70">
        <v>1013.0093222828693</v>
      </c>
      <c r="S118" s="75">
        <v>12.2</v>
      </c>
      <c r="T118" s="65">
        <v>8.4071846489497091</v>
      </c>
      <c r="U118" s="25">
        <v>3</v>
      </c>
      <c r="V118" s="223" t="s">
        <v>230</v>
      </c>
      <c r="W118" s="226" t="s">
        <v>223</v>
      </c>
      <c r="X118" s="26">
        <v>0</v>
      </c>
      <c r="Y118" s="27">
        <v>0</v>
      </c>
      <c r="Z118" s="28">
        <v>0</v>
      </c>
      <c r="AA118" s="30">
        <v>0</v>
      </c>
      <c r="AB118" s="328" t="s">
        <v>258</v>
      </c>
      <c r="AC118" s="29"/>
    </row>
    <row r="119" spans="1:29" s="20" customFormat="1" x14ac:dyDescent="0.3">
      <c r="A119" s="42">
        <v>43582</v>
      </c>
      <c r="B119" s="43">
        <v>12.5</v>
      </c>
      <c r="C119" s="14">
        <v>17.7</v>
      </c>
      <c r="D119" s="14">
        <v>12.7</v>
      </c>
      <c r="E119" s="14">
        <v>20.3</v>
      </c>
      <c r="F119" s="14">
        <v>10.7</v>
      </c>
      <c r="G119" s="68">
        <f t="shared" si="0"/>
        <v>9.6000000000000014</v>
      </c>
      <c r="H119" s="68">
        <f t="shared" si="1"/>
        <v>13.899999999999999</v>
      </c>
      <c r="I119" s="82">
        <v>14.4</v>
      </c>
      <c r="J119" s="14">
        <v>14.8196117511861</v>
      </c>
      <c r="K119" s="14">
        <v>8.9058502142593508</v>
      </c>
      <c r="L119" s="82">
        <v>11.203592088185655</v>
      </c>
      <c r="M119" s="88">
        <v>93</v>
      </c>
      <c r="N119" s="24">
        <v>62.428571428571402</v>
      </c>
      <c r="O119" s="84">
        <v>82.138206845238074</v>
      </c>
      <c r="P119" s="122">
        <v>1011.98631683666</v>
      </c>
      <c r="Q119" s="21">
        <v>1008.71173053572</v>
      </c>
      <c r="R119" s="70">
        <v>1010.6764523897117</v>
      </c>
      <c r="S119" s="75">
        <v>7.5</v>
      </c>
      <c r="T119" s="65">
        <v>5.4027054280792912</v>
      </c>
      <c r="U119" s="25">
        <v>1.3</v>
      </c>
      <c r="V119" s="223" t="s">
        <v>229</v>
      </c>
      <c r="W119" s="226" t="s">
        <v>240</v>
      </c>
      <c r="X119" s="26">
        <v>6</v>
      </c>
      <c r="Y119" s="27">
        <v>14</v>
      </c>
      <c r="Z119" s="28">
        <v>0</v>
      </c>
      <c r="AA119" s="30">
        <v>0</v>
      </c>
      <c r="AB119" s="328" t="s">
        <v>276</v>
      </c>
      <c r="AC119" s="29"/>
    </row>
    <row r="120" spans="1:29" s="20" customFormat="1" x14ac:dyDescent="0.3">
      <c r="A120" s="42">
        <v>43583</v>
      </c>
      <c r="B120" s="43">
        <v>10.6</v>
      </c>
      <c r="C120" s="14">
        <v>11.3</v>
      </c>
      <c r="D120" s="14">
        <v>9.5</v>
      </c>
      <c r="E120" s="14">
        <v>11.7</v>
      </c>
      <c r="F120" s="14">
        <v>9.3000000000000007</v>
      </c>
      <c r="G120" s="68">
        <f t="shared" si="0"/>
        <v>2.3999999999999986</v>
      </c>
      <c r="H120" s="68">
        <f t="shared" si="1"/>
        <v>10.225</v>
      </c>
      <c r="I120" s="82">
        <v>10.7</v>
      </c>
      <c r="J120" s="14">
        <v>11.139702060109</v>
      </c>
      <c r="K120" s="14">
        <v>8.1163868439161693</v>
      </c>
      <c r="L120" s="82">
        <v>9.537300935321376</v>
      </c>
      <c r="M120" s="88">
        <v>99</v>
      </c>
      <c r="N120" s="24">
        <v>90</v>
      </c>
      <c r="O120" s="84">
        <v>93.858940972222229</v>
      </c>
      <c r="P120" s="122">
        <v>1012.56846156604</v>
      </c>
      <c r="Q120" s="21">
        <v>1010.13799940592</v>
      </c>
      <c r="R120" s="70">
        <v>1011.6570901862132</v>
      </c>
      <c r="S120" s="75">
        <v>5.4</v>
      </c>
      <c r="T120" s="65">
        <v>2.6714418510681295</v>
      </c>
      <c r="U120" s="25">
        <v>0.7</v>
      </c>
      <c r="V120" s="223" t="s">
        <v>234</v>
      </c>
      <c r="W120" s="226" t="s">
        <v>240</v>
      </c>
      <c r="X120" s="26">
        <v>3.6</v>
      </c>
      <c r="Y120" s="27">
        <v>23</v>
      </c>
      <c r="Z120" s="28">
        <v>0</v>
      </c>
      <c r="AA120" s="30">
        <v>0</v>
      </c>
      <c r="AB120" s="328" t="s">
        <v>276</v>
      </c>
      <c r="AC120" s="29"/>
    </row>
    <row r="121" spans="1:29" s="20" customFormat="1" x14ac:dyDescent="0.3">
      <c r="A121" s="42">
        <v>43584</v>
      </c>
      <c r="B121" s="43">
        <v>10.4</v>
      </c>
      <c r="C121" s="14">
        <v>15.2</v>
      </c>
      <c r="D121" s="14">
        <v>11.2</v>
      </c>
      <c r="E121" s="14">
        <v>16.2</v>
      </c>
      <c r="F121" s="14">
        <v>8.6999999999999993</v>
      </c>
      <c r="G121" s="68">
        <f t="shared" si="0"/>
        <v>7.5</v>
      </c>
      <c r="H121" s="68">
        <f t="shared" si="1"/>
        <v>12</v>
      </c>
      <c r="I121" s="82">
        <v>12</v>
      </c>
      <c r="J121" s="14">
        <v>10.3368238036314</v>
      </c>
      <c r="K121" s="14">
        <v>8.1570249570136699</v>
      </c>
      <c r="L121" s="82">
        <v>9.0924195182580725</v>
      </c>
      <c r="M121" s="88">
        <v>99</v>
      </c>
      <c r="N121" s="24">
        <v>61.5</v>
      </c>
      <c r="O121" s="84">
        <v>82.929495073891658</v>
      </c>
      <c r="P121" s="122">
        <v>1011.47330080019</v>
      </c>
      <c r="Q121" s="21">
        <v>1009.9051396736</v>
      </c>
      <c r="R121" s="70">
        <v>1010.7935434127348</v>
      </c>
      <c r="S121" s="75">
        <v>3.1</v>
      </c>
      <c r="T121" s="65">
        <v>1.9937599109074666</v>
      </c>
      <c r="U121" s="25">
        <v>0.6</v>
      </c>
      <c r="V121" s="223" t="s">
        <v>227</v>
      </c>
      <c r="W121" s="226" t="s">
        <v>223</v>
      </c>
      <c r="X121" s="26">
        <v>0</v>
      </c>
      <c r="Y121" s="27">
        <v>0</v>
      </c>
      <c r="Z121" s="28">
        <v>0</v>
      </c>
      <c r="AA121" s="30">
        <v>0</v>
      </c>
      <c r="AB121" s="328" t="s">
        <v>258</v>
      </c>
      <c r="AC121" s="29"/>
    </row>
    <row r="122" spans="1:29" s="322" customFormat="1" ht="15" thickBot="1" x14ac:dyDescent="0.35">
      <c r="A122" s="42">
        <v>43585</v>
      </c>
      <c r="B122" s="44">
        <v>9.1999999999999993</v>
      </c>
      <c r="C122" s="22">
        <v>17.3</v>
      </c>
      <c r="D122" s="22">
        <v>12</v>
      </c>
      <c r="E122" s="22">
        <v>19.7</v>
      </c>
      <c r="F122" s="22">
        <v>7.8</v>
      </c>
      <c r="G122" s="320">
        <f t="shared" si="0"/>
        <v>11.899999999999999</v>
      </c>
      <c r="H122" s="320">
        <f t="shared" si="1"/>
        <v>12.625</v>
      </c>
      <c r="I122" s="83">
        <v>12.7</v>
      </c>
      <c r="J122" s="22">
        <v>13.174488322569699</v>
      </c>
      <c r="K122" s="22">
        <v>7.0492213929087804</v>
      </c>
      <c r="L122" s="83">
        <v>9.4544952064596544</v>
      </c>
      <c r="M122" s="89">
        <v>99</v>
      </c>
      <c r="N122" s="71">
        <v>51.714285714285701</v>
      </c>
      <c r="O122" s="85">
        <v>81.292658730158749</v>
      </c>
      <c r="P122" s="123">
        <v>1009.88148984903</v>
      </c>
      <c r="Q122" s="72">
        <v>1005.71363179527</v>
      </c>
      <c r="R122" s="73">
        <v>1007.8318409473673</v>
      </c>
      <c r="S122" s="77">
        <v>10.199999999999999</v>
      </c>
      <c r="T122" s="67">
        <v>7.3786081073619858</v>
      </c>
      <c r="U122" s="45">
        <v>1.7</v>
      </c>
      <c r="V122" s="227" t="s">
        <v>229</v>
      </c>
      <c r="W122" s="228" t="s">
        <v>240</v>
      </c>
      <c r="X122" s="47">
        <v>4.8</v>
      </c>
      <c r="Y122" s="48">
        <v>2</v>
      </c>
      <c r="Z122" s="49">
        <v>0</v>
      </c>
      <c r="AA122" s="50">
        <v>0</v>
      </c>
      <c r="AB122" s="329" t="s">
        <v>288</v>
      </c>
      <c r="AC122" s="321"/>
    </row>
    <row r="123" spans="1:29" s="37" customFormat="1" x14ac:dyDescent="0.3">
      <c r="A123" s="42">
        <v>43586</v>
      </c>
      <c r="B123" s="79">
        <v>11.7</v>
      </c>
      <c r="C123" s="32">
        <v>19.5</v>
      </c>
      <c r="D123" s="32">
        <v>8.9</v>
      </c>
      <c r="E123" s="32">
        <v>19.7</v>
      </c>
      <c r="F123" s="32">
        <v>10.199999999999999</v>
      </c>
      <c r="G123" s="80">
        <f t="shared" si="0"/>
        <v>9.5</v>
      </c>
      <c r="H123" s="80">
        <f t="shared" si="1"/>
        <v>12.25</v>
      </c>
      <c r="I123" s="87">
        <v>13.4</v>
      </c>
      <c r="J123" s="32">
        <v>10.176877680144401</v>
      </c>
      <c r="K123" s="32">
        <v>0.94566850724218798</v>
      </c>
      <c r="L123" s="87">
        <v>5.7676125272127923</v>
      </c>
      <c r="M123" s="119">
        <v>93</v>
      </c>
      <c r="N123" s="33">
        <v>32</v>
      </c>
      <c r="O123" s="114">
        <v>64.509865710990283</v>
      </c>
      <c r="P123" s="124">
        <v>1007.03803854494</v>
      </c>
      <c r="Q123" s="34">
        <v>1004.9277171935601</v>
      </c>
      <c r="R123" s="74">
        <v>1005.7958076520736</v>
      </c>
      <c r="S123" s="116">
        <v>11.2</v>
      </c>
      <c r="T123" s="35">
        <v>6.4518177860355417</v>
      </c>
      <c r="U123" s="35">
        <v>3.1</v>
      </c>
      <c r="V123" s="221" t="s">
        <v>227</v>
      </c>
      <c r="W123" s="229"/>
      <c r="X123" s="109">
        <v>0</v>
      </c>
      <c r="Y123" s="110">
        <v>0</v>
      </c>
      <c r="Z123" s="111">
        <v>0</v>
      </c>
      <c r="AA123" s="117">
        <v>0</v>
      </c>
      <c r="AB123" s="326" t="s">
        <v>251</v>
      </c>
      <c r="AC123" s="36"/>
    </row>
    <row r="124" spans="1:29" s="20" customFormat="1" x14ac:dyDescent="0.3">
      <c r="A124" s="42">
        <v>43587</v>
      </c>
      <c r="B124" s="43">
        <v>9.4</v>
      </c>
      <c r="C124" s="14">
        <v>21.1</v>
      </c>
      <c r="D124" s="14">
        <v>10.9</v>
      </c>
      <c r="E124" s="14">
        <v>21.3</v>
      </c>
      <c r="F124" s="14">
        <v>9.9</v>
      </c>
      <c r="G124" s="80">
        <f t="shared" si="0"/>
        <v>11.4</v>
      </c>
      <c r="H124" s="80">
        <f t="shared" si="1"/>
        <v>13.074999999999999</v>
      </c>
      <c r="I124" s="82">
        <v>13.4</v>
      </c>
      <c r="J124" s="14">
        <v>9.9011296607349006</v>
      </c>
      <c r="K124" s="14">
        <v>4.4305456283822702</v>
      </c>
      <c r="L124" s="82">
        <v>6.5743546971466253</v>
      </c>
      <c r="M124" s="88">
        <v>97</v>
      </c>
      <c r="N124" s="24">
        <v>34</v>
      </c>
      <c r="O124" s="84">
        <v>67.783234126984141</v>
      </c>
      <c r="P124" s="122">
        <v>1006.8197301665</v>
      </c>
      <c r="Q124" s="21">
        <v>1003.1066427505</v>
      </c>
      <c r="R124" s="70">
        <v>1005.2114736355911</v>
      </c>
      <c r="S124" s="75">
        <v>8.1999999999999993</v>
      </c>
      <c r="T124" s="65">
        <v>5.2285974197376248</v>
      </c>
      <c r="U124" s="25">
        <v>1.8</v>
      </c>
      <c r="V124" s="223" t="s">
        <v>236</v>
      </c>
      <c r="W124" s="224"/>
      <c r="X124" s="16">
        <v>0</v>
      </c>
      <c r="Y124" s="17">
        <v>0</v>
      </c>
      <c r="Z124" s="18">
        <v>0</v>
      </c>
      <c r="AA124" s="46">
        <v>0</v>
      </c>
      <c r="AB124" s="327" t="s">
        <v>252</v>
      </c>
      <c r="AC124" s="29"/>
    </row>
    <row r="125" spans="1:29" s="20" customFormat="1" x14ac:dyDescent="0.3">
      <c r="A125" s="42">
        <v>43588</v>
      </c>
      <c r="B125" s="43">
        <v>8.6</v>
      </c>
      <c r="C125" s="14">
        <v>10.5</v>
      </c>
      <c r="D125" s="14">
        <v>9</v>
      </c>
      <c r="E125" s="14">
        <v>16.3</v>
      </c>
      <c r="F125" s="14">
        <v>4.4000000000000004</v>
      </c>
      <c r="G125" s="80">
        <f t="shared" si="0"/>
        <v>11.9</v>
      </c>
      <c r="H125" s="80">
        <f t="shared" si="1"/>
        <v>9.2750000000000004</v>
      </c>
      <c r="I125" s="82">
        <v>9.6999999999999993</v>
      </c>
      <c r="J125" s="14">
        <v>12.1284919588216</v>
      </c>
      <c r="K125" s="14">
        <v>3.5197537460944002</v>
      </c>
      <c r="L125" s="82">
        <v>7.9650241790050682</v>
      </c>
      <c r="M125" s="88">
        <v>99</v>
      </c>
      <c r="N125" s="24">
        <v>68</v>
      </c>
      <c r="O125" s="84">
        <v>89.11706349206348</v>
      </c>
      <c r="P125" s="122">
        <v>1009.33390482781</v>
      </c>
      <c r="Q125" s="21">
        <v>1004.08358424731</v>
      </c>
      <c r="R125" s="70">
        <v>1006.2037489638055</v>
      </c>
      <c r="S125" s="75">
        <v>7.1</v>
      </c>
      <c r="T125" s="65">
        <v>4.1928779854999858</v>
      </c>
      <c r="U125" s="25">
        <v>1.3</v>
      </c>
      <c r="V125" s="223" t="s">
        <v>254</v>
      </c>
      <c r="W125" s="224" t="s">
        <v>240</v>
      </c>
      <c r="X125" s="16">
        <v>39.6</v>
      </c>
      <c r="Y125" s="17">
        <v>24.5</v>
      </c>
      <c r="Z125" s="18">
        <v>0</v>
      </c>
      <c r="AA125" s="46">
        <v>0</v>
      </c>
      <c r="AB125" s="327" t="s">
        <v>287</v>
      </c>
      <c r="AC125" s="29"/>
    </row>
    <row r="126" spans="1:29" s="20" customFormat="1" x14ac:dyDescent="0.3">
      <c r="A126" s="42">
        <v>43589</v>
      </c>
      <c r="B126" s="43">
        <v>6.7</v>
      </c>
      <c r="C126" s="14">
        <v>10.4</v>
      </c>
      <c r="D126" s="14">
        <v>9.6999999999999993</v>
      </c>
      <c r="E126" s="14">
        <v>11.7</v>
      </c>
      <c r="F126" s="14">
        <v>6.4</v>
      </c>
      <c r="G126" s="80">
        <f t="shared" si="0"/>
        <v>5.2999999999999989</v>
      </c>
      <c r="H126" s="80">
        <f t="shared" si="1"/>
        <v>9.125</v>
      </c>
      <c r="I126" s="82">
        <v>9.1</v>
      </c>
      <c r="J126" s="14">
        <v>9.6200599510295906</v>
      </c>
      <c r="K126" s="14">
        <v>6.0079398291210602</v>
      </c>
      <c r="L126" s="82">
        <v>7.961239835806869</v>
      </c>
      <c r="M126" s="88">
        <v>99</v>
      </c>
      <c r="N126" s="24">
        <v>82</v>
      </c>
      <c r="O126" s="84">
        <v>92.069797782126571</v>
      </c>
      <c r="P126" s="122">
        <v>1008.75539192657</v>
      </c>
      <c r="Q126" s="21">
        <v>1003.67970940155</v>
      </c>
      <c r="R126" s="70">
        <v>1006.5918005700859</v>
      </c>
      <c r="S126" s="76">
        <v>3.1</v>
      </c>
      <c r="T126" s="66">
        <v>1.9928670493262277</v>
      </c>
      <c r="U126" s="19">
        <v>0.5</v>
      </c>
      <c r="V126" s="223" t="s">
        <v>227</v>
      </c>
      <c r="W126" s="225" t="s">
        <v>240</v>
      </c>
      <c r="X126" s="16">
        <v>9.6</v>
      </c>
      <c r="Y126" s="17">
        <v>6.8</v>
      </c>
      <c r="Z126" s="18">
        <v>0</v>
      </c>
      <c r="AA126" s="46">
        <v>0</v>
      </c>
      <c r="AB126" s="327" t="s">
        <v>262</v>
      </c>
      <c r="AC126" s="29"/>
    </row>
    <row r="127" spans="1:29" s="20" customFormat="1" x14ac:dyDescent="0.3">
      <c r="A127" s="42">
        <v>43590</v>
      </c>
      <c r="B127" s="43">
        <v>8.8000000000000007</v>
      </c>
      <c r="C127" s="14">
        <v>6.6</v>
      </c>
      <c r="D127" s="14">
        <v>6</v>
      </c>
      <c r="E127" s="14">
        <v>9.1</v>
      </c>
      <c r="F127" s="14">
        <v>5.7</v>
      </c>
      <c r="G127" s="68">
        <f t="shared" si="0"/>
        <v>3.3999999999999995</v>
      </c>
      <c r="H127" s="68">
        <f t="shared" si="1"/>
        <v>6.85</v>
      </c>
      <c r="I127" s="82">
        <v>7.4</v>
      </c>
      <c r="J127" s="14">
        <v>8.6438384647945394</v>
      </c>
      <c r="K127" s="14">
        <v>4.5442794829527404</v>
      </c>
      <c r="L127" s="82">
        <v>6.2683658809732981</v>
      </c>
      <c r="M127" s="88">
        <v>98</v>
      </c>
      <c r="N127" s="24">
        <v>90</v>
      </c>
      <c r="O127" s="84">
        <v>94.283110119047606</v>
      </c>
      <c r="P127" s="122">
        <v>1009.876032196</v>
      </c>
      <c r="Q127" s="21">
        <v>1003.63240870576</v>
      </c>
      <c r="R127" s="70">
        <v>1007.3904378998037</v>
      </c>
      <c r="S127" s="75">
        <v>7.8</v>
      </c>
      <c r="T127" s="65">
        <v>4.4357363355970829</v>
      </c>
      <c r="U127" s="25">
        <v>1.8</v>
      </c>
      <c r="V127" s="223" t="s">
        <v>227</v>
      </c>
      <c r="W127" s="225" t="s">
        <v>240</v>
      </c>
      <c r="X127" s="16">
        <v>3.6</v>
      </c>
      <c r="Y127" s="17">
        <v>9.1999999999999993</v>
      </c>
      <c r="Z127" s="18">
        <v>0</v>
      </c>
      <c r="AA127" s="46">
        <v>0</v>
      </c>
      <c r="AB127" s="327" t="s">
        <v>262</v>
      </c>
      <c r="AC127" s="29"/>
    </row>
    <row r="128" spans="1:29" s="20" customFormat="1" x14ac:dyDescent="0.3">
      <c r="A128" s="42">
        <v>43591</v>
      </c>
      <c r="B128" s="43">
        <v>5.7</v>
      </c>
      <c r="C128" s="14">
        <v>5.2</v>
      </c>
      <c r="D128" s="14">
        <v>5.8</v>
      </c>
      <c r="E128" s="14">
        <v>6.4</v>
      </c>
      <c r="F128" s="14">
        <v>5.0999999999999996</v>
      </c>
      <c r="G128" s="68">
        <f t="shared" si="0"/>
        <v>1.3000000000000007</v>
      </c>
      <c r="H128" s="68">
        <f t="shared" si="1"/>
        <v>5.625</v>
      </c>
      <c r="I128" s="82">
        <v>5.7</v>
      </c>
      <c r="J128" s="14">
        <v>4.6403801159137901</v>
      </c>
      <c r="K128" s="14">
        <v>2.1320644270690701</v>
      </c>
      <c r="L128" s="82">
        <v>3.165913768463172</v>
      </c>
      <c r="M128" s="88">
        <v>92.125</v>
      </c>
      <c r="N128" s="24">
        <v>72</v>
      </c>
      <c r="O128" s="84">
        <v>83.330977182539684</v>
      </c>
      <c r="P128" s="122">
        <v>1011.7279897188999</v>
      </c>
      <c r="Q128" s="21">
        <v>1008.30422382849</v>
      </c>
      <c r="R128" s="70">
        <v>1009.8623165162712</v>
      </c>
      <c r="S128" s="75">
        <v>9.9</v>
      </c>
      <c r="T128" s="65">
        <v>4.9000243578415414</v>
      </c>
      <c r="U128" s="25">
        <v>2.9</v>
      </c>
      <c r="V128" s="223" t="s">
        <v>227</v>
      </c>
      <c r="W128" s="225" t="s">
        <v>240</v>
      </c>
      <c r="X128" s="16">
        <v>3.6</v>
      </c>
      <c r="Y128" s="17">
        <v>5.3</v>
      </c>
      <c r="Z128" s="18">
        <v>0</v>
      </c>
      <c r="AA128" s="46">
        <v>0</v>
      </c>
      <c r="AB128" s="327" t="s">
        <v>262</v>
      </c>
      <c r="AC128" s="29"/>
    </row>
    <row r="129" spans="1:29" s="20" customFormat="1" x14ac:dyDescent="0.3">
      <c r="A129" s="42">
        <v>43592</v>
      </c>
      <c r="B129" s="43">
        <v>9.6</v>
      </c>
      <c r="C129" s="14">
        <v>12.8</v>
      </c>
      <c r="D129" s="14">
        <v>6.5</v>
      </c>
      <c r="E129" s="14">
        <v>15.3</v>
      </c>
      <c r="F129" s="14">
        <v>3.5</v>
      </c>
      <c r="G129" s="68">
        <f t="shared" si="0"/>
        <v>11.8</v>
      </c>
      <c r="H129" s="68">
        <f t="shared" si="1"/>
        <v>8.85</v>
      </c>
      <c r="I129" s="82">
        <v>9.5</v>
      </c>
      <c r="J129" s="14">
        <v>4.9216636994855598</v>
      </c>
      <c r="K129" s="14">
        <v>0.49798074731768299</v>
      </c>
      <c r="L129" s="82">
        <v>2.2600053824380426</v>
      </c>
      <c r="M129" s="88">
        <v>92</v>
      </c>
      <c r="N129" s="24">
        <v>44.714285714285701</v>
      </c>
      <c r="O129" s="84">
        <v>62.985119047619023</v>
      </c>
      <c r="P129" s="122">
        <v>1017.15281004179</v>
      </c>
      <c r="Q129" s="21">
        <v>1010.5691532652201</v>
      </c>
      <c r="R129" s="70">
        <v>1013.7317423983407</v>
      </c>
      <c r="S129" s="75">
        <v>11.2</v>
      </c>
      <c r="T129" s="65">
        <v>5.7357427978815831</v>
      </c>
      <c r="U129" s="25">
        <v>2.7</v>
      </c>
      <c r="V129" s="223" t="s">
        <v>227</v>
      </c>
      <c r="W129" s="225"/>
      <c r="X129" s="16">
        <v>0</v>
      </c>
      <c r="Y129" s="17">
        <v>0</v>
      </c>
      <c r="Z129" s="18">
        <v>0</v>
      </c>
      <c r="AA129" s="46">
        <v>0</v>
      </c>
      <c r="AB129" s="327" t="s">
        <v>251</v>
      </c>
      <c r="AC129" s="29"/>
    </row>
    <row r="130" spans="1:29" s="20" customFormat="1" x14ac:dyDescent="0.3">
      <c r="A130" s="42">
        <v>43593</v>
      </c>
      <c r="B130" s="43">
        <v>8.3000000000000007</v>
      </c>
      <c r="C130" s="14">
        <v>14.3</v>
      </c>
      <c r="D130" s="14">
        <v>7</v>
      </c>
      <c r="E130" s="14">
        <v>16.7</v>
      </c>
      <c r="F130" s="14">
        <v>3.4</v>
      </c>
      <c r="G130" s="68">
        <f t="shared" si="0"/>
        <v>13.299999999999999</v>
      </c>
      <c r="H130" s="68">
        <f t="shared" si="1"/>
        <v>9.15</v>
      </c>
      <c r="I130" s="82">
        <v>9.8000000000000007</v>
      </c>
      <c r="J130" s="14">
        <v>6.6188399613821902</v>
      </c>
      <c r="K130" s="14">
        <v>-0.22195228777109999</v>
      </c>
      <c r="L130" s="82">
        <v>2.5639199928866847</v>
      </c>
      <c r="M130" s="88">
        <v>97</v>
      </c>
      <c r="N130" s="24">
        <v>35.857142857142897</v>
      </c>
      <c r="O130" s="84">
        <v>65.125992063492021</v>
      </c>
      <c r="P130" s="122">
        <v>1017.25468361994</v>
      </c>
      <c r="Q130" s="21">
        <v>1010.90934593143</v>
      </c>
      <c r="R130" s="70">
        <v>1014.8079694055127</v>
      </c>
      <c r="S130" s="75">
        <v>7.1</v>
      </c>
      <c r="T130" s="65">
        <v>4.2143066634497224</v>
      </c>
      <c r="U130" s="25">
        <v>1.2</v>
      </c>
      <c r="V130" s="223" t="s">
        <v>271</v>
      </c>
      <c r="W130" s="225"/>
      <c r="X130" s="16">
        <v>0</v>
      </c>
      <c r="Y130" s="17">
        <v>0</v>
      </c>
      <c r="Z130" s="18">
        <v>0</v>
      </c>
      <c r="AA130" s="46">
        <v>0</v>
      </c>
      <c r="AB130" s="327" t="s">
        <v>252</v>
      </c>
      <c r="AC130" s="29"/>
    </row>
    <row r="131" spans="1:29" s="20" customFormat="1" x14ac:dyDescent="0.3">
      <c r="A131" s="42">
        <v>43594</v>
      </c>
      <c r="B131" s="43">
        <v>9</v>
      </c>
      <c r="C131" s="14">
        <v>11.6</v>
      </c>
      <c r="D131" s="14">
        <v>9.1999999999999993</v>
      </c>
      <c r="E131" s="14">
        <v>12.4</v>
      </c>
      <c r="F131" s="14">
        <v>2.5</v>
      </c>
      <c r="G131" s="68">
        <f t="shared" si="0"/>
        <v>9.9</v>
      </c>
      <c r="H131" s="68">
        <f t="shared" si="1"/>
        <v>9.75</v>
      </c>
      <c r="I131" s="82">
        <v>8.5</v>
      </c>
      <c r="J131" s="14">
        <v>8.5400330811690406</v>
      </c>
      <c r="K131" s="14">
        <v>1.0282528923790999</v>
      </c>
      <c r="L131" s="82">
        <v>5.6300494341847589</v>
      </c>
      <c r="M131" s="88">
        <v>96</v>
      </c>
      <c r="N131" s="24">
        <v>64.428571428571402</v>
      </c>
      <c r="O131" s="84">
        <v>80.412698412698418</v>
      </c>
      <c r="P131" s="122">
        <v>1010.92389962602</v>
      </c>
      <c r="Q131" s="21">
        <v>1005.08781107869</v>
      </c>
      <c r="R131" s="70">
        <v>1007.1816488042407</v>
      </c>
      <c r="S131" s="75">
        <v>8.5</v>
      </c>
      <c r="T131" s="65">
        <v>6.3812817211176247</v>
      </c>
      <c r="U131" s="25">
        <v>2.5</v>
      </c>
      <c r="V131" s="223" t="s">
        <v>230</v>
      </c>
      <c r="W131" s="225" t="s">
        <v>240</v>
      </c>
      <c r="X131" s="16">
        <v>1.2</v>
      </c>
      <c r="Y131" s="17">
        <v>3.1</v>
      </c>
      <c r="Z131" s="18">
        <v>0</v>
      </c>
      <c r="AA131" s="46">
        <v>0</v>
      </c>
      <c r="AB131" s="327" t="s">
        <v>262</v>
      </c>
      <c r="AC131" s="29"/>
    </row>
    <row r="132" spans="1:29" s="20" customFormat="1" x14ac:dyDescent="0.3">
      <c r="A132" s="42">
        <v>43595</v>
      </c>
      <c r="B132" s="43">
        <v>9.9</v>
      </c>
      <c r="C132" s="14">
        <v>15.5</v>
      </c>
      <c r="D132" s="14">
        <v>9.6999999999999993</v>
      </c>
      <c r="E132" s="14">
        <v>16.7</v>
      </c>
      <c r="F132" s="14">
        <v>8.6999999999999993</v>
      </c>
      <c r="G132" s="68">
        <f t="shared" si="0"/>
        <v>8</v>
      </c>
      <c r="H132" s="68">
        <f t="shared" si="1"/>
        <v>11.2</v>
      </c>
      <c r="I132" s="82">
        <v>11.9</v>
      </c>
      <c r="J132" s="14">
        <v>11.4103786227827</v>
      </c>
      <c r="K132" s="14">
        <v>7.2749369109183801</v>
      </c>
      <c r="L132" s="82">
        <v>9.1251767697072985</v>
      </c>
      <c r="M132" s="88">
        <v>98</v>
      </c>
      <c r="N132" s="24">
        <v>63.571428571428598</v>
      </c>
      <c r="O132" s="84">
        <v>84.432188326719611</v>
      </c>
      <c r="P132" s="122">
        <v>1011.7152552861399</v>
      </c>
      <c r="Q132" s="21">
        <v>1005.04414911335</v>
      </c>
      <c r="R132" s="70">
        <v>1008.2840009019538</v>
      </c>
      <c r="S132" s="75">
        <v>5.8</v>
      </c>
      <c r="T132" s="65">
        <v>3.7285899632555255</v>
      </c>
      <c r="U132" s="25">
        <v>1</v>
      </c>
      <c r="V132" s="223" t="s">
        <v>271</v>
      </c>
      <c r="W132" s="225" t="s">
        <v>240</v>
      </c>
      <c r="X132" s="16">
        <v>2.4</v>
      </c>
      <c r="Y132" s="17">
        <v>0.9</v>
      </c>
      <c r="Z132" s="18">
        <v>0</v>
      </c>
      <c r="AA132" s="46">
        <v>0</v>
      </c>
      <c r="AB132" s="327" t="s">
        <v>289</v>
      </c>
      <c r="AC132" s="29"/>
    </row>
    <row r="133" spans="1:29" s="20" customFormat="1" x14ac:dyDescent="0.3">
      <c r="A133" s="42">
        <v>43596</v>
      </c>
      <c r="B133" s="43">
        <v>10</v>
      </c>
      <c r="C133" s="14">
        <v>18.899999999999999</v>
      </c>
      <c r="D133" s="14">
        <v>13.3</v>
      </c>
      <c r="E133" s="14">
        <v>19.8</v>
      </c>
      <c r="F133" s="14">
        <v>8.1999999999999993</v>
      </c>
      <c r="G133" s="68">
        <f t="shared" si="0"/>
        <v>11.600000000000001</v>
      </c>
      <c r="H133" s="68">
        <f t="shared" si="1"/>
        <v>13.875</v>
      </c>
      <c r="I133" s="82">
        <v>13.8</v>
      </c>
      <c r="J133" s="14">
        <v>11.8700355229946</v>
      </c>
      <c r="K133" s="14">
        <v>6.3773906165161502</v>
      </c>
      <c r="L133" s="82">
        <v>8.7360504958903089</v>
      </c>
      <c r="M133" s="88">
        <v>99</v>
      </c>
      <c r="N133" s="24">
        <v>43.571428571428598</v>
      </c>
      <c r="O133" s="84">
        <v>74.625806051587318</v>
      </c>
      <c r="P133" s="122">
        <v>1015.36273984354</v>
      </c>
      <c r="Q133" s="21">
        <v>1011.57881480663</v>
      </c>
      <c r="R133" s="70">
        <v>1013.0107611079532</v>
      </c>
      <c r="S133" s="75">
        <v>5.4</v>
      </c>
      <c r="T133" s="65">
        <v>3.5928750029071526</v>
      </c>
      <c r="U133" s="25">
        <v>1.1000000000000001</v>
      </c>
      <c r="V133" s="223" t="s">
        <v>236</v>
      </c>
      <c r="W133" s="225" t="s">
        <v>223</v>
      </c>
      <c r="X133" s="16">
        <v>0</v>
      </c>
      <c r="Y133" s="17">
        <v>0</v>
      </c>
      <c r="Z133" s="18">
        <v>0</v>
      </c>
      <c r="AA133" s="46">
        <v>0</v>
      </c>
      <c r="AB133" s="327" t="s">
        <v>258</v>
      </c>
      <c r="AC133" s="29"/>
    </row>
    <row r="134" spans="1:29" s="20" customFormat="1" x14ac:dyDescent="0.3">
      <c r="A134" s="42">
        <v>43597</v>
      </c>
      <c r="B134" s="43">
        <v>11.6</v>
      </c>
      <c r="C134" s="14">
        <v>21</v>
      </c>
      <c r="D134" s="14">
        <v>13.6</v>
      </c>
      <c r="E134" s="14">
        <v>22.5</v>
      </c>
      <c r="F134" s="14">
        <v>6.5</v>
      </c>
      <c r="G134" s="68">
        <f t="shared" si="0"/>
        <v>16</v>
      </c>
      <c r="H134" s="68">
        <f t="shared" si="1"/>
        <v>14.95</v>
      </c>
      <c r="I134" s="82">
        <v>14.9</v>
      </c>
      <c r="J134" s="14">
        <v>14.0644125867867</v>
      </c>
      <c r="K134" s="14">
        <v>5.6426186846806203</v>
      </c>
      <c r="L134" s="82">
        <v>9.6336936825864221</v>
      </c>
      <c r="M134" s="88">
        <v>98</v>
      </c>
      <c r="N134" s="24">
        <v>44.714285714285701</v>
      </c>
      <c r="O134" s="84">
        <v>72.071284396111395</v>
      </c>
      <c r="P134" s="122">
        <v>1024.0073661906099</v>
      </c>
      <c r="Q134" s="21">
        <v>1015.3063451765599</v>
      </c>
      <c r="R134" s="70">
        <v>1018.7880578008961</v>
      </c>
      <c r="S134" s="75">
        <v>8.5</v>
      </c>
      <c r="T134" s="65">
        <v>5.0357393181899308</v>
      </c>
      <c r="U134" s="25">
        <v>1.5</v>
      </c>
      <c r="V134" s="223" t="s">
        <v>227</v>
      </c>
      <c r="W134" s="225"/>
      <c r="X134" s="16">
        <v>0</v>
      </c>
      <c r="Y134" s="17">
        <v>0</v>
      </c>
      <c r="Z134" s="18">
        <v>0</v>
      </c>
      <c r="AA134" s="46">
        <v>0</v>
      </c>
      <c r="AB134" s="327" t="s">
        <v>248</v>
      </c>
      <c r="AC134" s="29"/>
    </row>
    <row r="135" spans="1:29" s="20" customFormat="1" x14ac:dyDescent="0.3">
      <c r="A135" s="42">
        <v>43598</v>
      </c>
      <c r="B135" s="43">
        <v>9.6999999999999993</v>
      </c>
      <c r="C135" s="14">
        <v>10.4</v>
      </c>
      <c r="D135" s="14">
        <v>8.8000000000000007</v>
      </c>
      <c r="E135" s="14">
        <v>11.6</v>
      </c>
      <c r="F135" s="14">
        <v>8.1</v>
      </c>
      <c r="G135" s="68">
        <f t="shared" si="0"/>
        <v>3.5</v>
      </c>
      <c r="H135" s="68">
        <f t="shared" si="1"/>
        <v>9.4250000000000007</v>
      </c>
      <c r="I135" s="82">
        <v>9.9</v>
      </c>
      <c r="J135" s="14">
        <v>7.6700719999499096</v>
      </c>
      <c r="K135" s="14">
        <v>1.7025992514616799</v>
      </c>
      <c r="L135" s="82">
        <v>5.0800036564457116</v>
      </c>
      <c r="M135" s="88">
        <v>81</v>
      </c>
      <c r="N135" s="24">
        <v>64</v>
      </c>
      <c r="O135" s="84">
        <v>73.547743055555586</v>
      </c>
      <c r="P135" s="122">
        <v>1027.8638922043999</v>
      </c>
      <c r="Q135" s="21">
        <v>1024.0219192146201</v>
      </c>
      <c r="R135" s="70">
        <v>1026.565426069604</v>
      </c>
      <c r="S135" s="75">
        <v>9.1999999999999993</v>
      </c>
      <c r="T135" s="65">
        <v>5.4857415551345703</v>
      </c>
      <c r="U135" s="25">
        <v>3.4</v>
      </c>
      <c r="V135" s="223" t="s">
        <v>229</v>
      </c>
      <c r="W135" s="226" t="s">
        <v>240</v>
      </c>
      <c r="X135" s="26">
        <v>4.8</v>
      </c>
      <c r="Y135" s="27">
        <v>9.4</v>
      </c>
      <c r="Z135" s="28">
        <v>0</v>
      </c>
      <c r="AA135" s="30">
        <v>0</v>
      </c>
      <c r="AB135" s="328" t="s">
        <v>262</v>
      </c>
      <c r="AC135" s="29"/>
    </row>
    <row r="136" spans="1:29" s="20" customFormat="1" x14ac:dyDescent="0.3">
      <c r="A136" s="42">
        <v>43599</v>
      </c>
      <c r="B136" s="43">
        <v>4</v>
      </c>
      <c r="C136" s="14">
        <v>6.7</v>
      </c>
      <c r="D136" s="14">
        <v>7.4</v>
      </c>
      <c r="E136" s="14">
        <v>8.1</v>
      </c>
      <c r="F136" s="14">
        <v>4</v>
      </c>
      <c r="G136" s="68">
        <f t="shared" si="0"/>
        <v>4.0999999999999996</v>
      </c>
      <c r="H136" s="68">
        <f t="shared" si="1"/>
        <v>6.375</v>
      </c>
      <c r="I136" s="82">
        <v>6.2</v>
      </c>
      <c r="J136" s="14">
        <v>7.4527709837406499</v>
      </c>
      <c r="K136" s="14">
        <v>2.6935441020909101</v>
      </c>
      <c r="L136" s="82">
        <v>5.244081751549091</v>
      </c>
      <c r="M136" s="88">
        <v>99</v>
      </c>
      <c r="N136" s="24">
        <v>75.142857142857096</v>
      </c>
      <c r="O136" s="84">
        <v>93.356398809523796</v>
      </c>
      <c r="P136" s="122">
        <v>1025.4808562370699</v>
      </c>
      <c r="Q136" s="21">
        <v>1016.90540262058</v>
      </c>
      <c r="R136" s="70">
        <v>1021.2751967742068</v>
      </c>
      <c r="S136" s="75">
        <v>7.8</v>
      </c>
      <c r="T136" s="65">
        <v>3.9357338501030554</v>
      </c>
      <c r="U136" s="25">
        <v>2.2000000000000002</v>
      </c>
      <c r="V136" s="223" t="s">
        <v>234</v>
      </c>
      <c r="W136" s="226" t="s">
        <v>240</v>
      </c>
      <c r="X136" s="26">
        <v>7.2</v>
      </c>
      <c r="Y136" s="27">
        <v>17.600000000000001</v>
      </c>
      <c r="Z136" s="28">
        <v>0</v>
      </c>
      <c r="AA136" s="30">
        <v>0</v>
      </c>
      <c r="AB136" s="328" t="s">
        <v>276</v>
      </c>
      <c r="AC136" s="29"/>
    </row>
    <row r="137" spans="1:29" s="20" customFormat="1" x14ac:dyDescent="0.3">
      <c r="A137" s="42">
        <v>43600</v>
      </c>
      <c r="B137" s="43">
        <v>8.5</v>
      </c>
      <c r="C137" s="14">
        <v>12.5</v>
      </c>
      <c r="D137" s="14">
        <v>10.8</v>
      </c>
      <c r="E137" s="14">
        <v>12.6</v>
      </c>
      <c r="F137" s="14">
        <v>7.6</v>
      </c>
      <c r="G137" s="68">
        <f t="shared" si="0"/>
        <v>5</v>
      </c>
      <c r="H137" s="68">
        <f t="shared" si="1"/>
        <v>10.65</v>
      </c>
      <c r="I137" s="82">
        <v>10.1</v>
      </c>
      <c r="J137" s="14">
        <v>10.804837588332401</v>
      </c>
      <c r="K137" s="14">
        <v>7.2237589314574997</v>
      </c>
      <c r="L137" s="82">
        <v>9.4726349657636817</v>
      </c>
      <c r="M137" s="88">
        <v>99</v>
      </c>
      <c r="N137" s="24">
        <v>86</v>
      </c>
      <c r="O137" s="84">
        <v>94.337198247354507</v>
      </c>
      <c r="P137" s="122">
        <v>1016.80352891857</v>
      </c>
      <c r="Q137" s="21">
        <v>1012.91774785267</v>
      </c>
      <c r="R137" s="70">
        <v>1014.0569707258833</v>
      </c>
      <c r="S137" s="75">
        <v>6.8</v>
      </c>
      <c r="T137" s="65">
        <v>3.3848382544783613</v>
      </c>
      <c r="U137" s="25">
        <v>1.3</v>
      </c>
      <c r="V137" s="223" t="s">
        <v>234</v>
      </c>
      <c r="W137" s="226" t="s">
        <v>240</v>
      </c>
      <c r="X137" s="26">
        <v>1.2</v>
      </c>
      <c r="Y137" s="27">
        <v>1.6</v>
      </c>
      <c r="Z137" s="28">
        <v>0</v>
      </c>
      <c r="AA137" s="30">
        <v>0</v>
      </c>
      <c r="AB137" s="328" t="s">
        <v>276</v>
      </c>
      <c r="AC137" s="29"/>
    </row>
    <row r="138" spans="1:29" s="20" customFormat="1" x14ac:dyDescent="0.3">
      <c r="A138" s="42">
        <v>43601</v>
      </c>
      <c r="B138" s="43">
        <v>10.8</v>
      </c>
      <c r="C138" s="14">
        <v>18.399999999999999</v>
      </c>
      <c r="D138" s="14">
        <v>13.5</v>
      </c>
      <c r="E138" s="14">
        <v>18.600000000000001</v>
      </c>
      <c r="F138" s="14">
        <v>10.199999999999999</v>
      </c>
      <c r="G138" s="68">
        <f t="shared" si="0"/>
        <v>8.4000000000000021</v>
      </c>
      <c r="H138" s="68">
        <f t="shared" si="1"/>
        <v>14.05</v>
      </c>
      <c r="I138" s="82">
        <v>13.5</v>
      </c>
      <c r="J138" s="14">
        <v>13.3536038396695</v>
      </c>
      <c r="K138" s="14">
        <v>9.74999432351796</v>
      </c>
      <c r="L138" s="82">
        <v>11.338253734208942</v>
      </c>
      <c r="M138" s="88">
        <v>99</v>
      </c>
      <c r="N138" s="24">
        <v>65.285714285714306</v>
      </c>
      <c r="O138" s="84">
        <v>87.459511408730151</v>
      </c>
      <c r="P138" s="122">
        <v>1015.02801002211</v>
      </c>
      <c r="Q138" s="21">
        <v>1011.05306357386</v>
      </c>
      <c r="R138" s="70">
        <v>1012.7982586475196</v>
      </c>
      <c r="S138" s="75">
        <v>3.4</v>
      </c>
      <c r="T138" s="65">
        <v>2.4642979642206031</v>
      </c>
      <c r="U138" s="25">
        <v>0.5</v>
      </c>
      <c r="V138" s="223" t="s">
        <v>231</v>
      </c>
      <c r="W138" s="226" t="s">
        <v>240</v>
      </c>
      <c r="X138" s="26">
        <v>1.2</v>
      </c>
      <c r="Y138" s="27">
        <v>0.2</v>
      </c>
      <c r="Z138" s="28">
        <v>0</v>
      </c>
      <c r="AA138" s="30">
        <v>0</v>
      </c>
      <c r="AB138" s="328" t="s">
        <v>290</v>
      </c>
      <c r="AC138" s="29"/>
    </row>
    <row r="139" spans="1:29" s="20" customFormat="1" x14ac:dyDescent="0.3">
      <c r="A139" s="42">
        <v>43602</v>
      </c>
      <c r="B139" s="43">
        <v>12.5</v>
      </c>
      <c r="C139" s="14">
        <v>19.899999999999999</v>
      </c>
      <c r="D139" s="14">
        <v>12.3</v>
      </c>
      <c r="E139" s="14">
        <v>20.399999999999999</v>
      </c>
      <c r="F139" s="14">
        <v>10.1</v>
      </c>
      <c r="G139" s="68">
        <f t="shared" si="0"/>
        <v>10.299999999999999</v>
      </c>
      <c r="H139" s="68">
        <f t="shared" si="1"/>
        <v>14.25</v>
      </c>
      <c r="I139" s="82">
        <v>14.7</v>
      </c>
      <c r="J139" s="14">
        <v>14.2761140132354</v>
      </c>
      <c r="K139" s="14">
        <v>9.1916116992721992</v>
      </c>
      <c r="L139" s="82">
        <v>10.984073503510141</v>
      </c>
      <c r="M139" s="88">
        <v>99</v>
      </c>
      <c r="N139" s="24">
        <v>52.571428571428598</v>
      </c>
      <c r="O139" s="84">
        <v>80.646887400793659</v>
      </c>
      <c r="P139" s="122">
        <v>1012.87408709148</v>
      </c>
      <c r="Q139" s="21">
        <v>1010.99666805217</v>
      </c>
      <c r="R139" s="70">
        <v>1012.0609163790292</v>
      </c>
      <c r="S139" s="75">
        <v>8.1999999999999993</v>
      </c>
      <c r="T139" s="65">
        <v>5.5428846963338749</v>
      </c>
      <c r="U139" s="25">
        <v>1.6</v>
      </c>
      <c r="V139" s="20" t="s">
        <v>230</v>
      </c>
      <c r="W139" s="226"/>
      <c r="X139" s="26">
        <v>0</v>
      </c>
      <c r="Y139" s="27">
        <v>0</v>
      </c>
      <c r="Z139" s="28">
        <v>0</v>
      </c>
      <c r="AA139" s="30">
        <v>0</v>
      </c>
      <c r="AB139" s="328" t="s">
        <v>251</v>
      </c>
      <c r="AC139" s="29"/>
    </row>
    <row r="140" spans="1:29" s="20" customFormat="1" x14ac:dyDescent="0.3">
      <c r="A140" s="42">
        <v>43603</v>
      </c>
      <c r="B140" s="43">
        <v>12.1</v>
      </c>
      <c r="C140" s="14">
        <v>23.9</v>
      </c>
      <c r="D140" s="14">
        <v>15.1</v>
      </c>
      <c r="E140" s="14">
        <v>24.7</v>
      </c>
      <c r="F140" s="14">
        <v>9.8000000000000007</v>
      </c>
      <c r="G140" s="68">
        <f t="shared" si="0"/>
        <v>14.899999999999999</v>
      </c>
      <c r="H140" s="68">
        <f t="shared" si="1"/>
        <v>16.55</v>
      </c>
      <c r="I140" s="82">
        <v>16.8</v>
      </c>
      <c r="J140" s="14">
        <v>15.540657512636599</v>
      </c>
      <c r="K140" s="14">
        <v>8.7961329152920396</v>
      </c>
      <c r="L140" s="82">
        <v>11.079647749634359</v>
      </c>
      <c r="M140" s="88">
        <v>98</v>
      </c>
      <c r="N140" s="24">
        <v>39.714285714285701</v>
      </c>
      <c r="O140" s="84">
        <v>72.758032624814646</v>
      </c>
      <c r="P140" s="122">
        <v>1012.1609603872899</v>
      </c>
      <c r="Q140" s="21">
        <v>1007.59108568026</v>
      </c>
      <c r="R140" s="70">
        <v>1009.7388112118581</v>
      </c>
      <c r="S140" s="75">
        <v>5.8</v>
      </c>
      <c r="T140" s="65">
        <v>3.3830525313158919</v>
      </c>
      <c r="U140" s="25">
        <v>0.9</v>
      </c>
      <c r="V140" s="223" t="s">
        <v>235</v>
      </c>
      <c r="W140" s="226"/>
      <c r="X140" s="26">
        <v>0</v>
      </c>
      <c r="Y140" s="27">
        <v>0</v>
      </c>
      <c r="Z140" s="28">
        <v>0</v>
      </c>
      <c r="AA140" s="30">
        <v>0</v>
      </c>
      <c r="AB140" s="328" t="s">
        <v>247</v>
      </c>
      <c r="AC140" s="29"/>
    </row>
    <row r="141" spans="1:29" s="20" customFormat="1" x14ac:dyDescent="0.3">
      <c r="A141" s="42">
        <v>43604</v>
      </c>
      <c r="B141" s="43">
        <v>12.1</v>
      </c>
      <c r="C141" s="14">
        <v>24.7</v>
      </c>
      <c r="D141" s="14">
        <v>15.1</v>
      </c>
      <c r="E141" s="14">
        <v>24.8</v>
      </c>
      <c r="F141" s="14">
        <v>9.1999999999999993</v>
      </c>
      <c r="G141" s="68">
        <f t="shared" si="0"/>
        <v>15.600000000000001</v>
      </c>
      <c r="H141" s="68">
        <f t="shared" si="1"/>
        <v>16.75</v>
      </c>
      <c r="I141" s="82">
        <v>17.399999999999999</v>
      </c>
      <c r="J141" s="14">
        <v>15.241762341767499</v>
      </c>
      <c r="K141" s="14">
        <v>7.7440137110923697</v>
      </c>
      <c r="L141" s="82">
        <v>12.179362357681065</v>
      </c>
      <c r="M141" s="88">
        <v>99</v>
      </c>
      <c r="N141" s="24">
        <v>45</v>
      </c>
      <c r="O141" s="84">
        <v>73.704303075396837</v>
      </c>
      <c r="P141" s="122">
        <v>1008.49342343554</v>
      </c>
      <c r="Q141" s="21">
        <v>1004.27278667145</v>
      </c>
      <c r="R141" s="70">
        <v>1006.9435332048314</v>
      </c>
      <c r="S141" s="75">
        <v>9.9</v>
      </c>
      <c r="T141" s="65">
        <v>5.8416957055219854</v>
      </c>
      <c r="U141" s="25">
        <v>1.8</v>
      </c>
      <c r="V141" s="223" t="s">
        <v>230</v>
      </c>
      <c r="W141" s="226" t="s">
        <v>240</v>
      </c>
      <c r="X141" s="26">
        <v>3.6</v>
      </c>
      <c r="Y141" s="27">
        <v>0.7</v>
      </c>
      <c r="Z141" s="28">
        <v>0</v>
      </c>
      <c r="AA141" s="30">
        <v>0</v>
      </c>
      <c r="AB141" s="328" t="s">
        <v>251</v>
      </c>
      <c r="AC141" s="29"/>
    </row>
    <row r="142" spans="1:29" s="20" customFormat="1" x14ac:dyDescent="0.3">
      <c r="A142" s="42">
        <v>43605</v>
      </c>
      <c r="B142" s="43">
        <v>16.2</v>
      </c>
      <c r="C142" s="14">
        <v>19.600000000000001</v>
      </c>
      <c r="D142" s="14">
        <v>16.600000000000001</v>
      </c>
      <c r="E142" s="14">
        <v>20.8</v>
      </c>
      <c r="F142" s="14">
        <v>12.6</v>
      </c>
      <c r="G142" s="68">
        <f t="shared" si="0"/>
        <v>8.2000000000000011</v>
      </c>
      <c r="H142" s="68">
        <f t="shared" si="1"/>
        <v>17.25</v>
      </c>
      <c r="I142" s="82">
        <v>17</v>
      </c>
      <c r="J142" s="14">
        <v>14.5808323570899</v>
      </c>
      <c r="K142" s="14">
        <v>10.596455534677199</v>
      </c>
      <c r="L142" s="82">
        <v>12.843208031114177</v>
      </c>
      <c r="M142" s="88">
        <v>96.6666666666667</v>
      </c>
      <c r="N142" s="24">
        <v>59.5</v>
      </c>
      <c r="O142" s="84">
        <v>77.7668444113757</v>
      </c>
      <c r="P142" s="122">
        <v>1007.75117807071</v>
      </c>
      <c r="Q142" s="21">
        <v>1003.48868730844</v>
      </c>
      <c r="R142" s="70">
        <v>1005.9471897441999</v>
      </c>
      <c r="S142" s="75">
        <v>9.1999999999999993</v>
      </c>
      <c r="T142" s="65">
        <v>5.9428866847290971</v>
      </c>
      <c r="U142" s="25">
        <v>2.7</v>
      </c>
      <c r="V142" s="223" t="s">
        <v>230</v>
      </c>
      <c r="W142" s="226" t="s">
        <v>240</v>
      </c>
      <c r="X142" s="26">
        <v>2.4</v>
      </c>
      <c r="Y142" s="27">
        <v>1.2</v>
      </c>
      <c r="Z142" s="28">
        <v>0</v>
      </c>
      <c r="AA142" s="30">
        <v>0</v>
      </c>
      <c r="AB142" s="328" t="s">
        <v>258</v>
      </c>
      <c r="AC142" s="29"/>
    </row>
    <row r="143" spans="1:29" s="20" customFormat="1" x14ac:dyDescent="0.3">
      <c r="A143" s="42">
        <v>43606</v>
      </c>
      <c r="B143" s="43">
        <v>13.5</v>
      </c>
      <c r="C143" s="14">
        <v>16.7</v>
      </c>
      <c r="D143" s="14">
        <v>15.7</v>
      </c>
      <c r="E143" s="14">
        <v>17.2</v>
      </c>
      <c r="F143" s="14">
        <v>11.3</v>
      </c>
      <c r="G143" s="68">
        <f t="shared" si="0"/>
        <v>5.8999999999999986</v>
      </c>
      <c r="H143" s="68">
        <f t="shared" si="1"/>
        <v>15.399999999999999</v>
      </c>
      <c r="I143" s="82">
        <v>14.7</v>
      </c>
      <c r="J143" s="14">
        <v>14.224886917126</v>
      </c>
      <c r="K143" s="14">
        <v>10.174264727153901</v>
      </c>
      <c r="L143" s="82">
        <v>11.855116938791658</v>
      </c>
      <c r="M143" s="88">
        <v>99</v>
      </c>
      <c r="N143" s="24">
        <v>67.714285714285694</v>
      </c>
      <c r="O143" s="84">
        <v>83.641989087301582</v>
      </c>
      <c r="P143" s="122">
        <v>1005.61539259824</v>
      </c>
      <c r="Q143" s="21">
        <v>1004.15635442697</v>
      </c>
      <c r="R143" s="70">
        <v>1004.7336574150005</v>
      </c>
      <c r="S143" s="75">
        <v>7.5</v>
      </c>
      <c r="T143" s="65">
        <v>4.7000233636439308</v>
      </c>
      <c r="U143" s="25">
        <v>1.8</v>
      </c>
      <c r="V143" s="223" t="s">
        <v>230</v>
      </c>
      <c r="W143" s="226" t="s">
        <v>240</v>
      </c>
      <c r="X143" s="26">
        <v>2.4</v>
      </c>
      <c r="Y143" s="27">
        <v>4.2</v>
      </c>
      <c r="Z143" s="28">
        <v>0</v>
      </c>
      <c r="AA143" s="30">
        <v>0</v>
      </c>
      <c r="AB143" s="328" t="s">
        <v>262</v>
      </c>
      <c r="AC143" s="29"/>
    </row>
    <row r="144" spans="1:29" s="20" customFormat="1" x14ac:dyDescent="0.3">
      <c r="A144" s="42">
        <v>43607</v>
      </c>
      <c r="B144" s="43">
        <v>13.3</v>
      </c>
      <c r="C144" s="14">
        <v>17</v>
      </c>
      <c r="D144" s="14">
        <v>13.2</v>
      </c>
      <c r="E144" s="14">
        <v>17.899999999999999</v>
      </c>
      <c r="F144" s="14">
        <v>12.6</v>
      </c>
      <c r="G144" s="68">
        <f t="shared" si="0"/>
        <v>5.2999999999999989</v>
      </c>
      <c r="H144" s="68">
        <f t="shared" si="1"/>
        <v>14.175000000000001</v>
      </c>
      <c r="I144" s="82">
        <v>14.6</v>
      </c>
      <c r="J144" s="14">
        <v>13.146002068342099</v>
      </c>
      <c r="K144" s="14">
        <v>10.402767540601801</v>
      </c>
      <c r="L144" s="82">
        <v>11.746153384336356</v>
      </c>
      <c r="M144" s="88">
        <v>98</v>
      </c>
      <c r="N144" s="24">
        <v>68</v>
      </c>
      <c r="O144" s="84">
        <v>83.953745039682531</v>
      </c>
      <c r="P144" s="122">
        <v>1007.60200106382</v>
      </c>
      <c r="Q144" s="21">
        <v>1003.87073135704</v>
      </c>
      <c r="R144" s="70">
        <v>1005.6252633570186</v>
      </c>
      <c r="S144" s="75">
        <v>8.8000000000000007</v>
      </c>
      <c r="T144" s="65">
        <v>6.0294942581093327</v>
      </c>
      <c r="U144" s="25">
        <v>2.7</v>
      </c>
      <c r="V144" s="223" t="s">
        <v>230</v>
      </c>
      <c r="W144" s="226" t="s">
        <v>240</v>
      </c>
      <c r="X144" s="26">
        <v>9.6</v>
      </c>
      <c r="Y144" s="27">
        <v>10.5</v>
      </c>
      <c r="Z144" s="28">
        <v>0</v>
      </c>
      <c r="AA144" s="30">
        <v>0</v>
      </c>
      <c r="AB144" s="328" t="s">
        <v>262</v>
      </c>
      <c r="AC144" s="29"/>
    </row>
    <row r="145" spans="1:29" s="20" customFormat="1" x14ac:dyDescent="0.3">
      <c r="A145" s="42">
        <v>43608</v>
      </c>
      <c r="B145" s="43">
        <v>14</v>
      </c>
      <c r="C145" s="14">
        <v>15.9</v>
      </c>
      <c r="D145" s="14">
        <v>12.9</v>
      </c>
      <c r="E145" s="14">
        <v>16.3</v>
      </c>
      <c r="F145" s="14">
        <v>12.1</v>
      </c>
      <c r="G145" s="68">
        <f t="shared" si="0"/>
        <v>4.2000000000000011</v>
      </c>
      <c r="H145" s="68">
        <f t="shared" si="1"/>
        <v>13.925000000000001</v>
      </c>
      <c r="I145" s="82">
        <v>14.1</v>
      </c>
      <c r="J145" s="14">
        <v>15.4964177274879</v>
      </c>
      <c r="K145" s="14">
        <v>10.497063882212</v>
      </c>
      <c r="L145" s="82">
        <v>12.870402630346067</v>
      </c>
      <c r="M145" s="88">
        <v>99</v>
      </c>
      <c r="N145" s="24">
        <v>80.142857142857096</v>
      </c>
      <c r="O145" s="84">
        <v>92.833519345238102</v>
      </c>
      <c r="P145" s="122">
        <v>1013.17971227854</v>
      </c>
      <c r="Q145" s="21">
        <v>1007.35822385822</v>
      </c>
      <c r="R145" s="70">
        <v>1010.5496093620495</v>
      </c>
      <c r="S145" s="75">
        <v>6.5</v>
      </c>
      <c r="T145" s="65">
        <v>3.1214440880127636</v>
      </c>
      <c r="U145" s="25">
        <v>0.9</v>
      </c>
      <c r="V145" s="223" t="s">
        <v>234</v>
      </c>
      <c r="W145" s="226" t="s">
        <v>240</v>
      </c>
      <c r="X145" s="26">
        <v>9.6</v>
      </c>
      <c r="Y145" s="27">
        <v>12</v>
      </c>
      <c r="Z145" s="28">
        <v>0</v>
      </c>
      <c r="AA145" s="30">
        <v>0</v>
      </c>
      <c r="AB145" s="328" t="s">
        <v>248</v>
      </c>
      <c r="AC145" s="29"/>
    </row>
    <row r="146" spans="1:29" s="20" customFormat="1" x14ac:dyDescent="0.3">
      <c r="A146" s="42">
        <v>43609</v>
      </c>
      <c r="B146" s="43">
        <v>12.3</v>
      </c>
      <c r="C146" s="14">
        <v>18.899999999999999</v>
      </c>
      <c r="D146" s="14">
        <v>12</v>
      </c>
      <c r="E146" s="14">
        <v>19.100000000000001</v>
      </c>
      <c r="F146" s="14">
        <v>9.1</v>
      </c>
      <c r="G146" s="68">
        <f t="shared" si="0"/>
        <v>10.000000000000002</v>
      </c>
      <c r="H146" s="68">
        <f t="shared" si="1"/>
        <v>13.8</v>
      </c>
      <c r="I146" s="82">
        <v>13.9</v>
      </c>
      <c r="J146" s="14">
        <v>14.452086933642301</v>
      </c>
      <c r="K146" s="14">
        <v>7.5465245827441301</v>
      </c>
      <c r="L146" s="82">
        <v>11.455259204018084</v>
      </c>
      <c r="M146" s="88">
        <v>99</v>
      </c>
      <c r="N146" s="24">
        <v>70</v>
      </c>
      <c r="O146" s="84">
        <v>86.182711319822076</v>
      </c>
      <c r="P146" s="122">
        <v>1012.85953350009</v>
      </c>
      <c r="Q146" s="21">
        <v>1011.54970747982</v>
      </c>
      <c r="R146" s="70">
        <v>1012.2852072784713</v>
      </c>
      <c r="S146" s="75">
        <v>7.8</v>
      </c>
      <c r="T146" s="65">
        <v>4.064305917801514</v>
      </c>
      <c r="U146" s="25">
        <v>0.9</v>
      </c>
      <c r="V146" s="223" t="s">
        <v>227</v>
      </c>
      <c r="W146" s="226"/>
      <c r="X146" s="26">
        <v>0</v>
      </c>
      <c r="Y146" s="27">
        <v>0</v>
      </c>
      <c r="Z146" s="28">
        <v>0</v>
      </c>
      <c r="AA146" s="30">
        <v>0</v>
      </c>
      <c r="AB146" s="330" t="s">
        <v>251</v>
      </c>
      <c r="AC146" s="29"/>
    </row>
    <row r="147" spans="1:29" s="20" customFormat="1" x14ac:dyDescent="0.3">
      <c r="A147" s="42">
        <v>43610</v>
      </c>
      <c r="B147" s="43">
        <v>12.9</v>
      </c>
      <c r="C147" s="14">
        <v>21.2</v>
      </c>
      <c r="D147" s="14">
        <v>12.5</v>
      </c>
      <c r="E147" s="14">
        <v>23.4</v>
      </c>
      <c r="F147" s="14">
        <v>9.1</v>
      </c>
      <c r="G147" s="68">
        <f t="shared" si="0"/>
        <v>14.299999999999999</v>
      </c>
      <c r="H147" s="68">
        <f t="shared" si="1"/>
        <v>14.775</v>
      </c>
      <c r="I147" s="82">
        <v>16</v>
      </c>
      <c r="J147" s="14">
        <v>15.1436450987133</v>
      </c>
      <c r="K147" s="14">
        <v>7.1515402817903704</v>
      </c>
      <c r="L147" s="82">
        <v>10.979782252680742</v>
      </c>
      <c r="M147" s="88">
        <v>99</v>
      </c>
      <c r="N147" s="24">
        <v>41</v>
      </c>
      <c r="O147" s="84">
        <v>75.523375496031747</v>
      </c>
      <c r="P147" s="122">
        <v>1014.72238681805</v>
      </c>
      <c r="Q147" s="21">
        <v>1011.40417089251</v>
      </c>
      <c r="R147" s="70">
        <v>1012.6172057586924</v>
      </c>
      <c r="S147" s="75">
        <v>8.1999999999999993</v>
      </c>
      <c r="T147" s="65">
        <v>3.7357328559054306</v>
      </c>
      <c r="U147" s="25">
        <v>1.1000000000000001</v>
      </c>
      <c r="V147" s="223" t="s">
        <v>227</v>
      </c>
      <c r="W147" s="226"/>
      <c r="X147" s="26">
        <v>0</v>
      </c>
      <c r="Y147" s="27">
        <v>0</v>
      </c>
      <c r="Z147" s="28">
        <v>0</v>
      </c>
      <c r="AA147" s="30">
        <v>0</v>
      </c>
      <c r="AB147" s="328" t="s">
        <v>257</v>
      </c>
      <c r="AC147" s="29"/>
    </row>
    <row r="148" spans="1:29" s="20" customFormat="1" x14ac:dyDescent="0.3">
      <c r="A148" s="42">
        <v>43611</v>
      </c>
      <c r="B148" s="43">
        <v>11.8</v>
      </c>
      <c r="C148" s="14">
        <v>22.5</v>
      </c>
      <c r="D148" s="14">
        <v>15.8</v>
      </c>
      <c r="E148" s="14">
        <v>24.4</v>
      </c>
      <c r="F148" s="14">
        <v>7.1</v>
      </c>
      <c r="G148" s="68">
        <f t="shared" si="0"/>
        <v>17.299999999999997</v>
      </c>
      <c r="H148" s="68">
        <f t="shared" si="1"/>
        <v>16.475000000000001</v>
      </c>
      <c r="I148" s="82">
        <v>16.100000000000001</v>
      </c>
      <c r="J148" s="14">
        <v>16.745324597038501</v>
      </c>
      <c r="K148" s="14">
        <v>6.1640442697994899</v>
      </c>
      <c r="L148" s="82">
        <v>11.652171033060299</v>
      </c>
      <c r="M148" s="88">
        <v>96</v>
      </c>
      <c r="N148" s="24">
        <v>48.75</v>
      </c>
      <c r="O148" s="84">
        <v>75.848338293650798</v>
      </c>
      <c r="P148" s="122">
        <v>1015.40640021704</v>
      </c>
      <c r="Q148" s="21">
        <v>1013.04873009153</v>
      </c>
      <c r="R148" s="70">
        <v>1014.1828133159711</v>
      </c>
      <c r="S148" s="75">
        <v>6.8</v>
      </c>
      <c r="T148" s="65">
        <v>4.7143091489437641</v>
      </c>
      <c r="U148" s="25">
        <v>1.2</v>
      </c>
      <c r="V148" s="223" t="s">
        <v>236</v>
      </c>
      <c r="W148" s="226" t="s">
        <v>240</v>
      </c>
      <c r="X148" s="26">
        <v>1.2</v>
      </c>
      <c r="Y148" s="27">
        <v>0.2</v>
      </c>
      <c r="Z148" s="28">
        <v>0</v>
      </c>
      <c r="AA148" s="30">
        <v>0</v>
      </c>
      <c r="AB148" s="328" t="s">
        <v>295</v>
      </c>
      <c r="AC148" s="29"/>
    </row>
    <row r="149" spans="1:29" s="20" customFormat="1" x14ac:dyDescent="0.3">
      <c r="A149" s="42">
        <v>43612</v>
      </c>
      <c r="B149" s="43">
        <v>13.4</v>
      </c>
      <c r="C149" s="14">
        <v>21.7</v>
      </c>
      <c r="D149" s="14">
        <v>17.5</v>
      </c>
      <c r="E149" s="14">
        <v>23.2</v>
      </c>
      <c r="F149" s="14">
        <v>10.8</v>
      </c>
      <c r="G149" s="68">
        <f t="shared" si="0"/>
        <v>12.399999999999999</v>
      </c>
      <c r="H149" s="68">
        <f t="shared" si="1"/>
        <v>17.524999999999999</v>
      </c>
      <c r="I149" s="82">
        <v>17.399999999999999</v>
      </c>
      <c r="J149" s="14">
        <v>16.8241074359726</v>
      </c>
      <c r="K149" s="14">
        <v>9.7131018807080594</v>
      </c>
      <c r="L149" s="82">
        <v>14.076140294633381</v>
      </c>
      <c r="M149" s="88">
        <v>99</v>
      </c>
      <c r="N149" s="24">
        <v>56.142857142857203</v>
      </c>
      <c r="O149" s="84">
        <v>80.496812996031792</v>
      </c>
      <c r="P149" s="122">
        <v>1014.30033517871</v>
      </c>
      <c r="Q149" s="21">
        <v>1009.9342471564</v>
      </c>
      <c r="R149" s="70">
        <v>1012.5964097500732</v>
      </c>
      <c r="S149" s="75">
        <v>7.8</v>
      </c>
      <c r="T149" s="65">
        <v>5.1277040610575835</v>
      </c>
      <c r="U149" s="25">
        <v>1.5</v>
      </c>
      <c r="V149" s="223" t="s">
        <v>230</v>
      </c>
      <c r="W149" s="226" t="s">
        <v>240</v>
      </c>
      <c r="X149" s="26">
        <v>10.3</v>
      </c>
      <c r="Y149" s="27">
        <v>8.8000000000000007</v>
      </c>
      <c r="Z149" s="28">
        <v>0</v>
      </c>
      <c r="AA149" s="30">
        <v>0</v>
      </c>
      <c r="AB149" s="328" t="s">
        <v>296</v>
      </c>
      <c r="AC149" s="29"/>
    </row>
    <row r="150" spans="1:29" s="20" customFormat="1" x14ac:dyDescent="0.3">
      <c r="A150" s="42">
        <v>43613</v>
      </c>
      <c r="B150" s="43">
        <v>17.5</v>
      </c>
      <c r="C150" s="14">
        <v>19.2</v>
      </c>
      <c r="D150" s="14">
        <v>13.8</v>
      </c>
      <c r="E150" s="14">
        <v>21.9</v>
      </c>
      <c r="F150" s="14">
        <v>13.8</v>
      </c>
      <c r="G150" s="68">
        <f t="shared" si="0"/>
        <v>8.0999999999999979</v>
      </c>
      <c r="H150" s="68">
        <f t="shared" si="1"/>
        <v>16.075000000000003</v>
      </c>
      <c r="I150" s="82">
        <v>18.2</v>
      </c>
      <c r="J150" s="14">
        <v>16.691938267846499</v>
      </c>
      <c r="K150" s="14">
        <v>10.9026025084501</v>
      </c>
      <c r="L150" s="82">
        <v>14.550457723539694</v>
      </c>
      <c r="M150" s="88">
        <v>99</v>
      </c>
      <c r="N150" s="24">
        <v>66.714285714285694</v>
      </c>
      <c r="O150" s="84">
        <v>84.361855158730165</v>
      </c>
      <c r="P150" s="122">
        <v>1010.00701583738</v>
      </c>
      <c r="Q150" s="21">
        <v>1005.00412564207</v>
      </c>
      <c r="R150" s="70">
        <v>1007.3083757418719</v>
      </c>
      <c r="S150" s="75">
        <v>12.2</v>
      </c>
      <c r="T150" s="65">
        <v>7.8643248075561942</v>
      </c>
      <c r="U150" s="25">
        <v>2.7</v>
      </c>
      <c r="V150" s="223" t="s">
        <v>230</v>
      </c>
      <c r="W150" s="226" t="s">
        <v>301</v>
      </c>
      <c r="X150" s="26">
        <v>87.1</v>
      </c>
      <c r="Y150" s="27">
        <v>23</v>
      </c>
      <c r="Z150" s="28">
        <v>0</v>
      </c>
      <c r="AA150" s="30">
        <v>0</v>
      </c>
      <c r="AB150" s="328" t="s">
        <v>302</v>
      </c>
      <c r="AC150" s="29"/>
    </row>
    <row r="151" spans="1:29" s="20" customFormat="1" x14ac:dyDescent="0.3">
      <c r="A151" s="42">
        <v>43614</v>
      </c>
      <c r="B151" s="43">
        <v>15.7</v>
      </c>
      <c r="C151" s="14">
        <v>17.399999999999999</v>
      </c>
      <c r="D151" s="14">
        <v>12.9</v>
      </c>
      <c r="E151" s="14">
        <v>21.9</v>
      </c>
      <c r="F151" s="14">
        <v>12</v>
      </c>
      <c r="G151" s="68">
        <f t="shared" si="0"/>
        <v>9.8999999999999986</v>
      </c>
      <c r="H151" s="68">
        <f t="shared" si="1"/>
        <v>14.724999999999998</v>
      </c>
      <c r="I151" s="82">
        <v>15.1</v>
      </c>
      <c r="J151" s="14">
        <v>17.3724877974504</v>
      </c>
      <c r="K151" s="14">
        <v>9.3375172900321299</v>
      </c>
      <c r="L151" s="82">
        <v>12.270351160741233</v>
      </c>
      <c r="M151" s="88">
        <v>99</v>
      </c>
      <c r="N151" s="24">
        <v>70</v>
      </c>
      <c r="O151" s="84">
        <v>83.687562003968253</v>
      </c>
      <c r="P151" s="122">
        <v>1018.92831580914</v>
      </c>
      <c r="Q151" s="21">
        <v>1007.37277773515</v>
      </c>
      <c r="R151" s="70">
        <v>1013.4228664915489</v>
      </c>
      <c r="S151" s="75">
        <v>8.5</v>
      </c>
      <c r="T151" s="65">
        <v>5.0500251034897641</v>
      </c>
      <c r="U151" s="25">
        <v>1.8</v>
      </c>
      <c r="V151" s="223" t="s">
        <v>227</v>
      </c>
      <c r="W151" s="226" t="s">
        <v>240</v>
      </c>
      <c r="X151" s="26">
        <v>13.2</v>
      </c>
      <c r="Y151" s="27">
        <v>16.8</v>
      </c>
      <c r="Z151" s="28">
        <v>0</v>
      </c>
      <c r="AA151" s="30">
        <v>0</v>
      </c>
      <c r="AB151" s="328" t="s">
        <v>288</v>
      </c>
      <c r="AC151" s="29"/>
    </row>
    <row r="152" spans="1:29" s="20" customFormat="1" x14ac:dyDescent="0.3">
      <c r="A152" s="42">
        <v>43615</v>
      </c>
      <c r="B152" s="43">
        <v>11.3</v>
      </c>
      <c r="C152" s="14">
        <v>11.9</v>
      </c>
      <c r="D152" s="14">
        <v>10.8</v>
      </c>
      <c r="E152" s="14">
        <v>12.4</v>
      </c>
      <c r="F152" s="14">
        <v>10.7</v>
      </c>
      <c r="G152" s="68">
        <f t="shared" si="0"/>
        <v>1.7000000000000011</v>
      </c>
      <c r="H152" s="68">
        <f t="shared" si="1"/>
        <v>11.200000000000001</v>
      </c>
      <c r="I152" s="82">
        <v>11.5</v>
      </c>
      <c r="J152" s="14">
        <v>11.9473213187468</v>
      </c>
      <c r="K152" s="14">
        <v>9.6509968289658392</v>
      </c>
      <c r="L152" s="82">
        <v>10.639979781748414</v>
      </c>
      <c r="M152" s="88">
        <v>99</v>
      </c>
      <c r="N152" s="24">
        <v>87</v>
      </c>
      <c r="O152" s="84">
        <v>95.11019345238094</v>
      </c>
      <c r="P152" s="122">
        <v>1022.98501435879</v>
      </c>
      <c r="Q152" s="21">
        <v>1018.11333091117</v>
      </c>
      <c r="R152" s="70">
        <v>1021.0244439033363</v>
      </c>
      <c r="S152" s="75">
        <v>5.4</v>
      </c>
      <c r="T152" s="65">
        <v>3.0000149129642155</v>
      </c>
      <c r="U152" s="25">
        <v>1.4</v>
      </c>
      <c r="V152" s="223" t="s">
        <v>234</v>
      </c>
      <c r="W152" s="226" t="s">
        <v>240</v>
      </c>
      <c r="X152" s="26">
        <v>8.1999999999999993</v>
      </c>
      <c r="Y152" s="27">
        <v>11.2</v>
      </c>
      <c r="Z152" s="28">
        <v>0</v>
      </c>
      <c r="AA152" s="30">
        <v>0</v>
      </c>
      <c r="AB152" s="328" t="s">
        <v>303</v>
      </c>
      <c r="AC152" s="29"/>
    </row>
    <row r="153" spans="1:29" s="20" customFormat="1" ht="15" thickBot="1" x14ac:dyDescent="0.35">
      <c r="A153" s="42">
        <v>43616</v>
      </c>
      <c r="B153" s="44">
        <v>11.7</v>
      </c>
      <c r="C153" s="22">
        <v>19.100000000000001</v>
      </c>
      <c r="D153" s="22">
        <v>14.3</v>
      </c>
      <c r="E153" s="22">
        <v>19.8</v>
      </c>
      <c r="F153" s="22">
        <v>10.3</v>
      </c>
      <c r="G153" s="22">
        <f t="shared" si="0"/>
        <v>9.5</v>
      </c>
      <c r="H153" s="22">
        <f t="shared" si="1"/>
        <v>14.850000000000001</v>
      </c>
      <c r="I153" s="83">
        <v>14.6</v>
      </c>
      <c r="J153" s="22">
        <v>14.165296258558101</v>
      </c>
      <c r="K153" s="22">
        <v>6.8172431738629298</v>
      </c>
      <c r="L153" s="83">
        <v>11.728438183548995</v>
      </c>
      <c r="M153" s="89">
        <v>99</v>
      </c>
      <c r="N153" s="71">
        <v>67</v>
      </c>
      <c r="O153" s="85">
        <v>84.552662037037024</v>
      </c>
      <c r="P153" s="123">
        <v>1023.46890375449</v>
      </c>
      <c r="Q153" s="72">
        <v>1020.96031051235</v>
      </c>
      <c r="R153" s="73">
        <v>1022.2177798155875</v>
      </c>
      <c r="S153" s="77">
        <v>6.1</v>
      </c>
      <c r="T153" s="67">
        <v>3.6687682373124857</v>
      </c>
      <c r="U153" s="45">
        <v>1.2</v>
      </c>
      <c r="V153" s="227" t="s">
        <v>227</v>
      </c>
      <c r="W153" s="228"/>
      <c r="X153" s="47">
        <v>0</v>
      </c>
      <c r="Y153" s="48">
        <v>0</v>
      </c>
      <c r="Z153" s="49">
        <v>0</v>
      </c>
      <c r="AA153" s="50">
        <v>0</v>
      </c>
      <c r="AB153" s="329" t="s">
        <v>251</v>
      </c>
      <c r="AC153" s="29"/>
    </row>
    <row r="154" spans="1:29" s="37" customFormat="1" x14ac:dyDescent="0.3">
      <c r="A154" s="42">
        <v>43617</v>
      </c>
      <c r="B154" s="79">
        <v>12.5</v>
      </c>
      <c r="C154" s="32">
        <v>23.7</v>
      </c>
      <c r="D154" s="32">
        <v>16.899999999999999</v>
      </c>
      <c r="E154" s="32">
        <v>24.7</v>
      </c>
      <c r="F154" s="32">
        <v>6.8</v>
      </c>
      <c r="G154" s="80">
        <f t="shared" si="0"/>
        <v>17.899999999999999</v>
      </c>
      <c r="H154" s="80">
        <f t="shared" si="1"/>
        <v>17.5</v>
      </c>
      <c r="I154" s="87">
        <v>17</v>
      </c>
      <c r="J154" s="32">
        <v>14.519542858292001</v>
      </c>
      <c r="K154" s="32">
        <v>5.6907689028922501</v>
      </c>
      <c r="L154" s="87">
        <v>11.129371577445369</v>
      </c>
      <c r="M154" s="119">
        <v>94.714285714285694</v>
      </c>
      <c r="N154" s="33">
        <v>47</v>
      </c>
      <c r="O154" s="114">
        <v>70.133458646616546</v>
      </c>
      <c r="P154" s="124">
        <v>1021.51878819809</v>
      </c>
      <c r="Q154" s="34">
        <v>1017.5894108331</v>
      </c>
      <c r="R154" s="74">
        <v>1019.7723653620802</v>
      </c>
      <c r="S154" s="116">
        <v>9.1999999999999993</v>
      </c>
      <c r="T154" s="35">
        <v>5.864314865580055</v>
      </c>
      <c r="U154" s="35">
        <v>1.8</v>
      </c>
      <c r="V154" s="221" t="s">
        <v>254</v>
      </c>
      <c r="W154" s="229"/>
      <c r="X154" s="109">
        <v>0</v>
      </c>
      <c r="Y154" s="110">
        <v>0</v>
      </c>
      <c r="Z154" s="111">
        <v>0</v>
      </c>
      <c r="AA154" s="117">
        <v>0</v>
      </c>
      <c r="AB154" s="326" t="s">
        <v>247</v>
      </c>
      <c r="AC154" s="36"/>
    </row>
    <row r="155" spans="1:29" s="20" customFormat="1" x14ac:dyDescent="0.3">
      <c r="A155" s="42">
        <v>43618</v>
      </c>
      <c r="B155" s="43">
        <v>15.7</v>
      </c>
      <c r="C155" s="14">
        <v>26.4</v>
      </c>
      <c r="D155" s="14">
        <v>16.5</v>
      </c>
      <c r="E155" s="14">
        <v>26.6</v>
      </c>
      <c r="F155" s="14">
        <v>11</v>
      </c>
      <c r="G155" s="80">
        <f t="shared" si="0"/>
        <v>15.600000000000001</v>
      </c>
      <c r="H155" s="80">
        <f t="shared" si="1"/>
        <v>18.774999999999999</v>
      </c>
      <c r="I155" s="82">
        <v>19.100000000000001</v>
      </c>
      <c r="J155" s="14">
        <v>16.944308065161401</v>
      </c>
      <c r="K155" s="14">
        <v>9.9113554747091808</v>
      </c>
      <c r="L155" s="82">
        <v>13.416046735894001</v>
      </c>
      <c r="M155" s="88">
        <v>96</v>
      </c>
      <c r="N155" s="24">
        <v>49.571428571428598</v>
      </c>
      <c r="O155" s="84">
        <v>72.122333829365047</v>
      </c>
      <c r="P155" s="122">
        <v>1019.55410620949</v>
      </c>
      <c r="Q155" s="21">
        <v>1016.46516244155</v>
      </c>
      <c r="R155" s="70">
        <v>1018.4167193169119</v>
      </c>
      <c r="S155" s="75">
        <v>6.1</v>
      </c>
      <c r="T155" s="65">
        <v>3.6643039294062913</v>
      </c>
      <c r="U155" s="25">
        <v>1.3</v>
      </c>
      <c r="V155" s="223" t="s">
        <v>229</v>
      </c>
      <c r="W155" s="224"/>
      <c r="X155" s="16">
        <v>0</v>
      </c>
      <c r="Y155" s="17">
        <v>0</v>
      </c>
      <c r="Z155" s="18">
        <v>0</v>
      </c>
      <c r="AA155" s="46">
        <v>0</v>
      </c>
      <c r="AB155" s="327" t="s">
        <v>252</v>
      </c>
      <c r="AC155" s="29"/>
    </row>
    <row r="156" spans="1:29" s="20" customFormat="1" x14ac:dyDescent="0.3">
      <c r="A156" s="42">
        <v>43619</v>
      </c>
      <c r="B156" s="43">
        <v>16.2</v>
      </c>
      <c r="C156" s="14">
        <v>25.3</v>
      </c>
      <c r="D156" s="14">
        <v>18</v>
      </c>
      <c r="E156" s="14">
        <v>27.3</v>
      </c>
      <c r="F156" s="14">
        <v>10.1</v>
      </c>
      <c r="G156" s="80">
        <f t="shared" si="0"/>
        <v>17.200000000000003</v>
      </c>
      <c r="H156" s="80">
        <f t="shared" si="1"/>
        <v>19.375</v>
      </c>
      <c r="I156" s="82">
        <v>20.5</v>
      </c>
      <c r="J156" s="14">
        <v>17.499266606777599</v>
      </c>
      <c r="K156" s="14">
        <v>8.8301679048692794</v>
      </c>
      <c r="L156" s="82">
        <v>14.281064601030632</v>
      </c>
      <c r="M156" s="88">
        <v>97</v>
      </c>
      <c r="N156" s="24">
        <v>46.714285714285701</v>
      </c>
      <c r="O156" s="84">
        <v>69.653335301062612</v>
      </c>
      <c r="P156" s="122">
        <v>1018.36073728037</v>
      </c>
      <c r="Q156" s="21">
        <v>1014.53319131966</v>
      </c>
      <c r="R156" s="70">
        <v>1016.7046742301352</v>
      </c>
      <c r="S156" s="75">
        <v>8.1999999999999993</v>
      </c>
      <c r="T156" s="65">
        <v>5.3000263462367778</v>
      </c>
      <c r="U156" s="25">
        <v>2.2000000000000002</v>
      </c>
      <c r="V156" s="223" t="s">
        <v>254</v>
      </c>
      <c r="W156" s="224"/>
      <c r="X156" s="16">
        <v>0</v>
      </c>
      <c r="Y156" s="17">
        <v>0</v>
      </c>
      <c r="Z156" s="18">
        <v>0</v>
      </c>
      <c r="AA156" s="46">
        <v>0</v>
      </c>
      <c r="AB156" s="327" t="s">
        <v>257</v>
      </c>
      <c r="AC156" s="29"/>
    </row>
    <row r="157" spans="1:29" s="20" customFormat="1" x14ac:dyDescent="0.3">
      <c r="A157" s="42">
        <v>43620</v>
      </c>
      <c r="B157" s="43">
        <v>18</v>
      </c>
      <c r="C157" s="14">
        <v>26.5</v>
      </c>
      <c r="D157" s="14">
        <v>18.100000000000001</v>
      </c>
      <c r="E157" s="14">
        <v>27.7</v>
      </c>
      <c r="F157" s="14">
        <v>12.8</v>
      </c>
      <c r="G157" s="80">
        <f t="shared" si="0"/>
        <v>14.899999999999999</v>
      </c>
      <c r="H157" s="80">
        <f t="shared" si="1"/>
        <v>20.175000000000001</v>
      </c>
      <c r="I157" s="82">
        <v>20.6</v>
      </c>
      <c r="J157" s="14">
        <v>18.852140198931899</v>
      </c>
      <c r="K157" s="14">
        <v>11.3666158278639</v>
      </c>
      <c r="L157" s="82">
        <v>15.033063168956321</v>
      </c>
      <c r="M157" s="88">
        <v>99</v>
      </c>
      <c r="N157" s="24">
        <v>42.714285714285701</v>
      </c>
      <c r="O157" s="84">
        <v>73.275310019841271</v>
      </c>
      <c r="P157" s="122">
        <v>1015.62470203798</v>
      </c>
      <c r="Q157" s="21">
        <v>1011.70979766302</v>
      </c>
      <c r="R157" s="70">
        <v>1013.5041755235007</v>
      </c>
      <c r="S157" s="76">
        <v>7.5</v>
      </c>
      <c r="T157" s="66">
        <v>4.4214505502972496</v>
      </c>
      <c r="U157" s="19">
        <v>1.1000000000000001</v>
      </c>
      <c r="V157" s="223" t="s">
        <v>357</v>
      </c>
      <c r="W157" s="225" t="s">
        <v>223</v>
      </c>
      <c r="X157" s="16">
        <v>0</v>
      </c>
      <c r="Y157" s="17">
        <v>0</v>
      </c>
      <c r="Z157" s="18">
        <v>0</v>
      </c>
      <c r="AA157" s="46">
        <v>0</v>
      </c>
      <c r="AB157" s="327" t="s">
        <v>304</v>
      </c>
      <c r="AC157" s="29"/>
    </row>
    <row r="158" spans="1:29" s="20" customFormat="1" x14ac:dyDescent="0.3">
      <c r="A158" s="42">
        <v>43621</v>
      </c>
      <c r="B158" s="43">
        <v>18.5</v>
      </c>
      <c r="C158" s="14">
        <v>25.1</v>
      </c>
      <c r="D158" s="14">
        <v>17.100000000000001</v>
      </c>
      <c r="E158" s="14">
        <v>25.3</v>
      </c>
      <c r="F158" s="14">
        <v>12.2</v>
      </c>
      <c r="G158" s="80">
        <f t="shared" si="0"/>
        <v>13.100000000000001</v>
      </c>
      <c r="H158" s="68">
        <f t="shared" si="1"/>
        <v>19.450000000000003</v>
      </c>
      <c r="I158" s="82">
        <v>18.7</v>
      </c>
      <c r="J158" s="14">
        <v>17.0660076392032</v>
      </c>
      <c r="K158" s="14">
        <v>10.734881350274099</v>
      </c>
      <c r="L158" s="82">
        <v>13.854165853722611</v>
      </c>
      <c r="M158" s="88">
        <v>99</v>
      </c>
      <c r="N158" s="24">
        <v>45.285714285714299</v>
      </c>
      <c r="O158" s="84">
        <v>76.248759920634924</v>
      </c>
      <c r="P158" s="122">
        <v>1013.38346222742</v>
      </c>
      <c r="Q158" s="21">
        <v>1011.46238554094</v>
      </c>
      <c r="R158" s="70">
        <v>1012.3788598312432</v>
      </c>
      <c r="S158" s="75">
        <v>8.1999999999999993</v>
      </c>
      <c r="T158" s="65">
        <v>4.9214530357912913</v>
      </c>
      <c r="U158" s="25">
        <v>1.6</v>
      </c>
      <c r="V158" s="223" t="s">
        <v>226</v>
      </c>
      <c r="W158" s="225" t="s">
        <v>223</v>
      </c>
      <c r="X158" s="16">
        <v>0</v>
      </c>
      <c r="Y158" s="17">
        <v>0</v>
      </c>
      <c r="Z158" s="18">
        <v>0</v>
      </c>
      <c r="AA158" s="46">
        <v>0</v>
      </c>
      <c r="AB158" s="327" t="s">
        <v>288</v>
      </c>
      <c r="AC158" s="29"/>
    </row>
    <row r="159" spans="1:29" s="20" customFormat="1" x14ac:dyDescent="0.3">
      <c r="A159" s="42">
        <v>43622</v>
      </c>
      <c r="B159" s="43">
        <v>14.2</v>
      </c>
      <c r="C159" s="14">
        <v>23.4</v>
      </c>
      <c r="D159" s="14">
        <v>18.7</v>
      </c>
      <c r="E159" s="14">
        <v>23.8</v>
      </c>
      <c r="F159" s="14">
        <v>11</v>
      </c>
      <c r="G159" s="80">
        <f t="shared" si="0"/>
        <v>12.8</v>
      </c>
      <c r="H159" s="68">
        <f t="shared" si="1"/>
        <v>18.75</v>
      </c>
      <c r="I159" s="82">
        <v>18</v>
      </c>
      <c r="J159" s="14">
        <v>16.012508779193599</v>
      </c>
      <c r="K159" s="14">
        <v>10.010481748294801</v>
      </c>
      <c r="L159" s="82">
        <v>13.426424058784018</v>
      </c>
      <c r="M159" s="88">
        <v>99</v>
      </c>
      <c r="N159" s="24">
        <v>51.571428571428598</v>
      </c>
      <c r="O159" s="84">
        <v>76.066468253968239</v>
      </c>
      <c r="P159" s="122">
        <v>1014.9261356587</v>
      </c>
      <c r="Q159" s="21">
        <v>1012.85953350528</v>
      </c>
      <c r="R159" s="70">
        <v>1013.8957099817648</v>
      </c>
      <c r="S159" s="75">
        <v>8.1999999999999993</v>
      </c>
      <c r="T159" s="65">
        <v>5.0571679961396807</v>
      </c>
      <c r="U159" s="25">
        <v>1.8</v>
      </c>
      <c r="V159" s="223" t="s">
        <v>230</v>
      </c>
      <c r="W159" s="225"/>
      <c r="X159" s="16">
        <v>0</v>
      </c>
      <c r="Y159" s="17">
        <v>0</v>
      </c>
      <c r="Z159" s="18">
        <v>0</v>
      </c>
      <c r="AA159" s="46">
        <v>0</v>
      </c>
      <c r="AB159" s="327" t="s">
        <v>305</v>
      </c>
      <c r="AC159" s="29"/>
    </row>
    <row r="160" spans="1:29" s="20" customFormat="1" x14ac:dyDescent="0.3">
      <c r="A160" s="42">
        <v>43623</v>
      </c>
      <c r="B160" s="43">
        <v>17.899999999999999</v>
      </c>
      <c r="C160" s="14">
        <v>22.8</v>
      </c>
      <c r="D160" s="14">
        <v>20.9</v>
      </c>
      <c r="E160" s="14">
        <v>24.3</v>
      </c>
      <c r="F160" s="14">
        <v>12.6</v>
      </c>
      <c r="G160" s="80">
        <f t="shared" si="0"/>
        <v>11.700000000000001</v>
      </c>
      <c r="H160" s="68">
        <f t="shared" si="1"/>
        <v>20.625</v>
      </c>
      <c r="I160" s="82">
        <v>19.3</v>
      </c>
      <c r="J160" s="14">
        <v>18.734225728091499</v>
      </c>
      <c r="K160" s="14">
        <v>11.5964546709674</v>
      </c>
      <c r="L160" s="82">
        <v>15.552651865147283</v>
      </c>
      <c r="M160" s="88">
        <v>99</v>
      </c>
      <c r="N160" s="24">
        <v>62.625</v>
      </c>
      <c r="O160" s="84">
        <v>79.568638392857167</v>
      </c>
      <c r="P160" s="122">
        <v>1017.1528100366299</v>
      </c>
      <c r="Q160" s="21">
        <v>1014.83517636084</v>
      </c>
      <c r="R160" s="70">
        <v>1016.2690823957299</v>
      </c>
      <c r="S160" s="75">
        <v>9.1999999999999993</v>
      </c>
      <c r="T160" s="65">
        <v>5.5571704816337082</v>
      </c>
      <c r="U160" s="25">
        <v>2</v>
      </c>
      <c r="V160" s="223" t="s">
        <v>226</v>
      </c>
      <c r="W160" s="225" t="s">
        <v>240</v>
      </c>
      <c r="X160" s="16">
        <v>7.2</v>
      </c>
      <c r="Y160" s="17">
        <v>1.3</v>
      </c>
      <c r="Z160" s="18">
        <v>0</v>
      </c>
      <c r="AA160" s="46">
        <v>0</v>
      </c>
      <c r="AB160" s="327" t="s">
        <v>288</v>
      </c>
      <c r="AC160" s="29"/>
    </row>
    <row r="161" spans="1:29" s="20" customFormat="1" x14ac:dyDescent="0.3">
      <c r="A161" s="42">
        <v>43624</v>
      </c>
      <c r="B161" s="43">
        <v>16</v>
      </c>
      <c r="C161" s="14">
        <v>28.4</v>
      </c>
      <c r="D161" s="14">
        <v>20.399999999999999</v>
      </c>
      <c r="E161" s="14">
        <v>29.2</v>
      </c>
      <c r="F161" s="14">
        <v>13.6</v>
      </c>
      <c r="G161" s="80">
        <f t="shared" si="0"/>
        <v>15.6</v>
      </c>
      <c r="H161" s="68">
        <f t="shared" si="1"/>
        <v>21.299999999999997</v>
      </c>
      <c r="I161" s="82">
        <v>21.6</v>
      </c>
      <c r="J161" s="14">
        <v>19.943187022017099</v>
      </c>
      <c r="K161" s="14">
        <v>12.488525186961899</v>
      </c>
      <c r="L161" s="82">
        <v>16.388636476319284</v>
      </c>
      <c r="M161" s="88">
        <v>99</v>
      </c>
      <c r="N161" s="24">
        <v>43.142857142857203</v>
      </c>
      <c r="O161" s="84">
        <v>73.902963789682502</v>
      </c>
      <c r="P161" s="122">
        <v>1023.6726463978</v>
      </c>
      <c r="Q161" s="21">
        <v>1016.73076197898</v>
      </c>
      <c r="R161" s="70">
        <v>1019.093555687316</v>
      </c>
      <c r="S161" s="75">
        <v>6.5</v>
      </c>
      <c r="T161" s="65">
        <v>3.6134108192756389</v>
      </c>
      <c r="U161" s="25">
        <v>0.9</v>
      </c>
      <c r="V161" s="223" t="s">
        <v>234</v>
      </c>
      <c r="W161" s="225" t="s">
        <v>240</v>
      </c>
      <c r="X161" s="16">
        <v>1.2</v>
      </c>
      <c r="Y161" s="17">
        <v>0.3</v>
      </c>
      <c r="Z161" s="18">
        <v>0</v>
      </c>
      <c r="AA161" s="46">
        <v>0</v>
      </c>
      <c r="AB161" s="327" t="s">
        <v>314</v>
      </c>
      <c r="AC161" s="29"/>
    </row>
    <row r="162" spans="1:29" s="20" customFormat="1" x14ac:dyDescent="0.3">
      <c r="A162" s="42">
        <v>43625</v>
      </c>
      <c r="B162" s="43">
        <v>19.399999999999999</v>
      </c>
      <c r="C162" s="14">
        <v>25.7</v>
      </c>
      <c r="D162" s="14">
        <v>18.8</v>
      </c>
      <c r="E162" s="14">
        <v>26.2</v>
      </c>
      <c r="F162" s="14">
        <v>16.2</v>
      </c>
      <c r="G162" s="80">
        <f t="shared" si="0"/>
        <v>10</v>
      </c>
      <c r="H162" s="68">
        <f t="shared" si="1"/>
        <v>20.674999999999997</v>
      </c>
      <c r="I162" s="82">
        <v>21.3</v>
      </c>
      <c r="J162" s="14">
        <v>19.509663768052899</v>
      </c>
      <c r="K162" s="14">
        <v>12.0170843851089</v>
      </c>
      <c r="L162" s="82">
        <v>15.681319658907226</v>
      </c>
      <c r="M162" s="88">
        <v>92</v>
      </c>
      <c r="N162" s="24">
        <v>62</v>
      </c>
      <c r="O162" s="84">
        <v>72.498397274103993</v>
      </c>
      <c r="P162" s="122">
        <v>1026.30673502486</v>
      </c>
      <c r="Q162" s="21">
        <v>1022.05725425819</v>
      </c>
      <c r="R162" s="70">
        <v>1024.2650092188637</v>
      </c>
      <c r="S162" s="75">
        <v>7.5</v>
      </c>
      <c r="T162" s="65">
        <v>5.1000253520391672</v>
      </c>
      <c r="U162" s="25">
        <v>1.8</v>
      </c>
      <c r="V162" s="223" t="s">
        <v>229</v>
      </c>
      <c r="W162" s="225"/>
      <c r="X162" s="16">
        <v>0</v>
      </c>
      <c r="Y162" s="17">
        <v>0</v>
      </c>
      <c r="Z162" s="18">
        <v>0</v>
      </c>
      <c r="AA162" s="46">
        <v>0</v>
      </c>
      <c r="AB162" s="327" t="s">
        <v>257</v>
      </c>
      <c r="AC162" s="29"/>
    </row>
    <row r="163" spans="1:29" s="20" customFormat="1" x14ac:dyDescent="0.3">
      <c r="A163" s="42">
        <v>43626</v>
      </c>
      <c r="B163" s="43">
        <v>18</v>
      </c>
      <c r="C163" s="14">
        <v>29.4</v>
      </c>
      <c r="D163" s="14">
        <v>19.600000000000001</v>
      </c>
      <c r="E163" s="14">
        <v>29.9</v>
      </c>
      <c r="F163" s="14">
        <v>12.9</v>
      </c>
      <c r="G163" s="80">
        <f t="shared" si="0"/>
        <v>17</v>
      </c>
      <c r="H163" s="68">
        <f t="shared" si="1"/>
        <v>21.65</v>
      </c>
      <c r="I163" s="82">
        <v>21.9</v>
      </c>
      <c r="J163" s="14">
        <v>19.350865387332</v>
      </c>
      <c r="K163" s="14">
        <v>11.4959243896995</v>
      </c>
      <c r="L163" s="82">
        <v>15.608366741869885</v>
      </c>
      <c r="M163" s="88">
        <v>99</v>
      </c>
      <c r="N163" s="24">
        <v>40</v>
      </c>
      <c r="O163" s="84">
        <v>71.503720238095255</v>
      </c>
      <c r="P163" s="122">
        <v>1022.05543510904</v>
      </c>
      <c r="Q163" s="21">
        <v>1015.3918467661</v>
      </c>
      <c r="R163" s="70">
        <v>1018.356634858969</v>
      </c>
      <c r="S163" s="75">
        <v>7.1</v>
      </c>
      <c r="T163" s="65">
        <v>4.3357358384982776</v>
      </c>
      <c r="U163" s="25">
        <v>1.3</v>
      </c>
      <c r="V163" s="223" t="s">
        <v>230</v>
      </c>
      <c r="W163" s="225"/>
      <c r="X163" s="16">
        <v>0</v>
      </c>
      <c r="Y163" s="17">
        <v>0</v>
      </c>
      <c r="Z163" s="18">
        <v>0</v>
      </c>
      <c r="AA163" s="46">
        <v>0</v>
      </c>
      <c r="AB163" s="327" t="s">
        <v>315</v>
      </c>
      <c r="AC163" s="29"/>
    </row>
    <row r="164" spans="1:29" s="20" customFormat="1" x14ac:dyDescent="0.3">
      <c r="A164" s="42">
        <v>43627</v>
      </c>
      <c r="B164" s="43">
        <v>20.5</v>
      </c>
      <c r="C164" s="14">
        <v>29.7</v>
      </c>
      <c r="D164" s="14">
        <v>22.3</v>
      </c>
      <c r="E164" s="14">
        <v>30.2</v>
      </c>
      <c r="F164" s="14">
        <v>14.4</v>
      </c>
      <c r="G164" s="80">
        <f t="shared" si="0"/>
        <v>15.799999999999999</v>
      </c>
      <c r="H164" s="68">
        <f t="shared" si="1"/>
        <v>23.700000000000003</v>
      </c>
      <c r="I164" s="82">
        <v>23.2</v>
      </c>
      <c r="J164" s="14">
        <v>18.863188312144999</v>
      </c>
      <c r="K164" s="14">
        <v>13.4456776826745</v>
      </c>
      <c r="L164" s="82">
        <v>15.501684490968826</v>
      </c>
      <c r="M164" s="88">
        <v>99</v>
      </c>
      <c r="N164" s="24">
        <v>37.375</v>
      </c>
      <c r="O164" s="84">
        <v>66.120039682539698</v>
      </c>
      <c r="P164" s="122">
        <v>1017.2419494188</v>
      </c>
      <c r="Q164" s="21">
        <v>1014.86792169979</v>
      </c>
      <c r="R164" s="70">
        <v>1016.0917312964707</v>
      </c>
      <c r="S164" s="75">
        <v>8.5</v>
      </c>
      <c r="T164" s="65">
        <v>4.6571660077444577</v>
      </c>
      <c r="U164" s="25">
        <v>1.7</v>
      </c>
      <c r="V164" s="223" t="s">
        <v>271</v>
      </c>
      <c r="W164" s="225"/>
      <c r="X164" s="16">
        <v>0</v>
      </c>
      <c r="Y164" s="17">
        <v>0</v>
      </c>
      <c r="Z164" s="18">
        <v>0</v>
      </c>
      <c r="AA164" s="46">
        <v>0</v>
      </c>
      <c r="AB164" s="327" t="s">
        <v>316</v>
      </c>
      <c r="AC164" s="29"/>
    </row>
    <row r="165" spans="1:29" s="20" customFormat="1" x14ac:dyDescent="0.3">
      <c r="A165" s="42">
        <v>43628</v>
      </c>
      <c r="B165" s="43">
        <v>20.399999999999999</v>
      </c>
      <c r="C165" s="14">
        <v>29.8</v>
      </c>
      <c r="D165" s="14">
        <v>20.5</v>
      </c>
      <c r="E165" s="14">
        <v>30.2</v>
      </c>
      <c r="F165" s="14">
        <v>14.6</v>
      </c>
      <c r="G165" s="80">
        <f t="shared" si="0"/>
        <v>15.6</v>
      </c>
      <c r="H165" s="68">
        <f t="shared" si="1"/>
        <v>22.8</v>
      </c>
      <c r="I165" s="82">
        <v>22.8</v>
      </c>
      <c r="J165" s="14">
        <v>19.280695026783199</v>
      </c>
      <c r="K165" s="14">
        <v>12.6995048534018</v>
      </c>
      <c r="L165" s="82">
        <v>15.920078669619317</v>
      </c>
      <c r="M165" s="88">
        <v>99</v>
      </c>
      <c r="N165" s="24">
        <v>41.571428571428598</v>
      </c>
      <c r="O165" s="84">
        <v>68.444736842105257</v>
      </c>
      <c r="P165" s="122">
        <v>1016.71620857454</v>
      </c>
      <c r="Q165" s="21">
        <v>1014.37310274378</v>
      </c>
      <c r="R165" s="70">
        <v>1015.483000167361</v>
      </c>
      <c r="S165" s="75">
        <v>7.5</v>
      </c>
      <c r="T165" s="65">
        <v>4.4643079061967494</v>
      </c>
      <c r="U165" s="25">
        <v>1.6</v>
      </c>
      <c r="V165" s="223" t="s">
        <v>271</v>
      </c>
      <c r="W165" s="225"/>
      <c r="X165" s="16">
        <v>0</v>
      </c>
      <c r="Y165" s="17">
        <v>0</v>
      </c>
      <c r="Z165" s="18">
        <v>0</v>
      </c>
      <c r="AA165" s="46">
        <v>0</v>
      </c>
      <c r="AB165" s="327" t="s">
        <v>317</v>
      </c>
      <c r="AC165" s="29"/>
    </row>
    <row r="166" spans="1:29" s="20" customFormat="1" x14ac:dyDescent="0.3">
      <c r="A166" s="42">
        <v>43629</v>
      </c>
      <c r="B166" s="43">
        <v>20.100000000000001</v>
      </c>
      <c r="C166" s="14">
        <v>30.3</v>
      </c>
      <c r="D166" s="14">
        <v>23.1</v>
      </c>
      <c r="E166" s="14">
        <v>30.6</v>
      </c>
      <c r="F166" s="14">
        <v>14.3</v>
      </c>
      <c r="G166" s="80">
        <f t="shared" si="0"/>
        <v>16.3</v>
      </c>
      <c r="H166" s="68">
        <f t="shared" si="1"/>
        <v>24.150000000000002</v>
      </c>
      <c r="I166" s="82">
        <v>23.3</v>
      </c>
      <c r="J166" s="14">
        <v>19.1170916600854</v>
      </c>
      <c r="K166" s="14">
        <v>12.849447856070601</v>
      </c>
      <c r="L166" s="82">
        <v>16.755737669428662</v>
      </c>
      <c r="M166" s="88">
        <v>98</v>
      </c>
      <c r="N166" s="24">
        <v>45</v>
      </c>
      <c r="O166" s="84">
        <v>68.971085409252638</v>
      </c>
      <c r="P166" s="122">
        <v>1017.02182967542</v>
      </c>
      <c r="Q166" s="21">
        <v>1014.38765625162</v>
      </c>
      <c r="R166" s="70">
        <v>1015.8741353253396</v>
      </c>
      <c r="S166" s="75">
        <v>7.5</v>
      </c>
      <c r="T166" s="65">
        <v>4.8357383239923184</v>
      </c>
      <c r="U166" s="25">
        <v>1.8</v>
      </c>
      <c r="V166" s="223" t="s">
        <v>271</v>
      </c>
      <c r="W166" s="226"/>
      <c r="X166" s="26">
        <v>0</v>
      </c>
      <c r="Y166" s="27">
        <v>0</v>
      </c>
      <c r="Z166" s="28">
        <v>0</v>
      </c>
      <c r="AA166" s="30">
        <v>0</v>
      </c>
      <c r="AB166" s="328" t="s">
        <v>318</v>
      </c>
      <c r="AC166" s="29"/>
    </row>
    <row r="167" spans="1:29" s="20" customFormat="1" x14ac:dyDescent="0.3">
      <c r="A167" s="42">
        <v>43630</v>
      </c>
      <c r="B167" s="43">
        <v>20.100000000000001</v>
      </c>
      <c r="C167" s="14">
        <v>32.200000000000003</v>
      </c>
      <c r="D167" s="14">
        <v>22.6</v>
      </c>
      <c r="E167" s="14">
        <v>32.200000000000003</v>
      </c>
      <c r="F167" s="14">
        <v>15.7</v>
      </c>
      <c r="G167" s="68">
        <f t="shared" si="0"/>
        <v>16.500000000000004</v>
      </c>
      <c r="H167" s="68">
        <f t="shared" si="1"/>
        <v>24.375</v>
      </c>
      <c r="I167" s="82">
        <v>23.8</v>
      </c>
      <c r="J167" s="14">
        <v>23.347434642334701</v>
      </c>
      <c r="K167" s="14">
        <v>14.900203718029401</v>
      </c>
      <c r="L167" s="82">
        <v>18.868138015139802</v>
      </c>
      <c r="M167" s="88">
        <v>99</v>
      </c>
      <c r="N167" s="24">
        <v>49.714285714285701</v>
      </c>
      <c r="O167" s="84">
        <v>76.488726745178397</v>
      </c>
      <c r="P167" s="122">
        <v>1019.76330909955</v>
      </c>
      <c r="Q167" s="21">
        <v>1016.03219830247</v>
      </c>
      <c r="R167" s="70">
        <v>1018.2838133070449</v>
      </c>
      <c r="S167" s="75">
        <v>5.8</v>
      </c>
      <c r="T167" s="65">
        <v>4.2000208781499024</v>
      </c>
      <c r="U167" s="25">
        <v>1.1000000000000001</v>
      </c>
      <c r="V167" s="223" t="s">
        <v>229</v>
      </c>
      <c r="W167" s="226" t="s">
        <v>301</v>
      </c>
      <c r="X167" s="26">
        <v>12</v>
      </c>
      <c r="Y167" s="27">
        <v>2.4</v>
      </c>
      <c r="Z167" s="28">
        <v>0</v>
      </c>
      <c r="AA167" s="30">
        <v>0</v>
      </c>
      <c r="AB167" s="328" t="s">
        <v>323</v>
      </c>
      <c r="AC167" s="29"/>
    </row>
    <row r="168" spans="1:29" s="20" customFormat="1" x14ac:dyDescent="0.3">
      <c r="A168" s="42">
        <v>43631</v>
      </c>
      <c r="B168" s="43">
        <v>18.100000000000001</v>
      </c>
      <c r="C168" s="14">
        <v>31.3</v>
      </c>
      <c r="D168" s="14">
        <v>22.1</v>
      </c>
      <c r="E168" s="14">
        <v>31.6</v>
      </c>
      <c r="F168" s="14">
        <v>16.399999999999999</v>
      </c>
      <c r="G168" s="68">
        <f t="shared" si="0"/>
        <v>15.200000000000003</v>
      </c>
      <c r="H168" s="68">
        <f t="shared" si="1"/>
        <v>23.400000000000002</v>
      </c>
      <c r="I168" s="82">
        <v>23.8</v>
      </c>
      <c r="J168" s="14">
        <v>22.802474540700601</v>
      </c>
      <c r="K168" s="14">
        <v>15.529742995406799</v>
      </c>
      <c r="L168" s="82">
        <v>18.52784261148566</v>
      </c>
      <c r="M168" s="88">
        <v>99</v>
      </c>
      <c r="N168" s="24">
        <v>46.285714285714299</v>
      </c>
      <c r="O168" s="84">
        <v>75.103236607142861</v>
      </c>
      <c r="P168" s="122">
        <v>1018.73912309326</v>
      </c>
      <c r="Q168" s="21">
        <v>1013.10694440781</v>
      </c>
      <c r="R168" s="70">
        <v>1015.6576040747374</v>
      </c>
      <c r="S168" s="75">
        <v>6.8</v>
      </c>
      <c r="T168" s="65">
        <v>4.0839488725887918</v>
      </c>
      <c r="U168" s="25">
        <v>1.3</v>
      </c>
      <c r="V168" s="223" t="s">
        <v>230</v>
      </c>
      <c r="W168" s="226"/>
      <c r="X168" s="26">
        <v>0</v>
      </c>
      <c r="Y168" s="27">
        <v>0</v>
      </c>
      <c r="Z168" s="28">
        <v>0</v>
      </c>
      <c r="AA168" s="30">
        <v>0</v>
      </c>
      <c r="AB168" s="328" t="s">
        <v>315</v>
      </c>
      <c r="AC168" s="29"/>
    </row>
    <row r="169" spans="1:29" s="20" customFormat="1" x14ac:dyDescent="0.3">
      <c r="A169" s="42">
        <v>43632</v>
      </c>
      <c r="B169" s="43">
        <v>21.4</v>
      </c>
      <c r="C169" s="14">
        <v>32</v>
      </c>
      <c r="D169" s="14">
        <v>19.3</v>
      </c>
      <c r="E169" s="14">
        <v>32.200000000000003</v>
      </c>
      <c r="F169" s="14">
        <v>16.899999999999999</v>
      </c>
      <c r="G169" s="68">
        <f t="shared" si="0"/>
        <v>15.300000000000004</v>
      </c>
      <c r="H169" s="68">
        <f t="shared" si="1"/>
        <v>23</v>
      </c>
      <c r="I169" s="82">
        <v>23.2</v>
      </c>
      <c r="J169" s="14">
        <v>21.654320198986401</v>
      </c>
      <c r="K169" s="14">
        <v>16.356524526067801</v>
      </c>
      <c r="L169" s="82">
        <v>18.494912661759898</v>
      </c>
      <c r="M169" s="88">
        <v>99</v>
      </c>
      <c r="N169" s="24">
        <v>43.625</v>
      </c>
      <c r="O169" s="84">
        <v>78.463107638888928</v>
      </c>
      <c r="P169" s="122">
        <v>1020.07802271377</v>
      </c>
      <c r="Q169" s="21">
        <v>1013.03963410445</v>
      </c>
      <c r="R169" s="70">
        <v>1015.5409075066418</v>
      </c>
      <c r="S169" s="75">
        <v>9.1999999999999993</v>
      </c>
      <c r="T169" s="65">
        <v>4.8857385725417082</v>
      </c>
      <c r="U169" s="25">
        <v>1.1000000000000001</v>
      </c>
      <c r="V169" s="223" t="s">
        <v>234</v>
      </c>
      <c r="W169" s="226" t="s">
        <v>301</v>
      </c>
      <c r="X169" s="26">
        <v>59.9</v>
      </c>
      <c r="Y169" s="27">
        <v>21.5</v>
      </c>
      <c r="Z169" s="28">
        <v>0</v>
      </c>
      <c r="AA169" s="30">
        <v>0</v>
      </c>
      <c r="AB169" s="328" t="s">
        <v>334</v>
      </c>
      <c r="AC169" s="29"/>
    </row>
    <row r="170" spans="1:29" s="20" customFormat="1" x14ac:dyDescent="0.3">
      <c r="A170" s="42">
        <v>43633</v>
      </c>
      <c r="B170" s="43">
        <v>18.600000000000001</v>
      </c>
      <c r="C170" s="14">
        <v>18.399999999999999</v>
      </c>
      <c r="D170" s="14">
        <v>14.8</v>
      </c>
      <c r="E170" s="14">
        <v>20</v>
      </c>
      <c r="F170" s="14">
        <v>13.2</v>
      </c>
      <c r="G170" s="68">
        <f t="shared" si="0"/>
        <v>6.8000000000000007</v>
      </c>
      <c r="H170" s="68">
        <f t="shared" si="1"/>
        <v>16.649999999999999</v>
      </c>
      <c r="I170" s="82">
        <v>17.8</v>
      </c>
      <c r="J170" s="14">
        <v>19.837514738184801</v>
      </c>
      <c r="K170" s="14">
        <v>11.693373229678199</v>
      </c>
      <c r="L170" s="82">
        <v>15.494313131719602</v>
      </c>
      <c r="M170" s="88">
        <v>99</v>
      </c>
      <c r="N170" s="24">
        <v>70</v>
      </c>
      <c r="O170" s="84">
        <v>88.241257440476204</v>
      </c>
      <c r="P170" s="122">
        <v>1021.54607534042</v>
      </c>
      <c r="Q170" s="21">
        <v>1018.28797072757</v>
      </c>
      <c r="R170" s="70">
        <v>1020.2346708589125</v>
      </c>
      <c r="S170" s="75">
        <v>5.0999999999999996</v>
      </c>
      <c r="T170" s="65">
        <v>3.1071583027129446</v>
      </c>
      <c r="U170" s="25">
        <v>1.3</v>
      </c>
      <c r="V170" s="223" t="s">
        <v>227</v>
      </c>
      <c r="W170" s="226"/>
      <c r="X170" s="26">
        <v>6</v>
      </c>
      <c r="Y170" s="27">
        <v>0.9</v>
      </c>
      <c r="Z170" s="28">
        <v>0</v>
      </c>
      <c r="AA170" s="30">
        <v>0</v>
      </c>
      <c r="AB170" s="328" t="s">
        <v>248</v>
      </c>
      <c r="AC170" s="29"/>
    </row>
    <row r="171" spans="1:29" s="20" customFormat="1" x14ac:dyDescent="0.3">
      <c r="A171" s="42">
        <v>43634</v>
      </c>
      <c r="B171" s="43">
        <v>19.5</v>
      </c>
      <c r="C171" s="14">
        <v>25.4</v>
      </c>
      <c r="D171" s="14">
        <v>19.399999999999999</v>
      </c>
      <c r="E171" s="14">
        <v>27.1</v>
      </c>
      <c r="F171" s="14">
        <v>12.8</v>
      </c>
      <c r="G171" s="68">
        <f t="shared" si="0"/>
        <v>14.3</v>
      </c>
      <c r="H171" s="68">
        <f t="shared" si="1"/>
        <v>20.924999999999997</v>
      </c>
      <c r="I171" s="82">
        <v>20.5</v>
      </c>
      <c r="J171" s="14">
        <v>20.518251986222801</v>
      </c>
      <c r="K171" s="14">
        <v>11.8577301754615</v>
      </c>
      <c r="L171" s="82">
        <v>17.046140235999623</v>
      </c>
      <c r="M171" s="88">
        <v>99</v>
      </c>
      <c r="N171" s="24">
        <v>63</v>
      </c>
      <c r="O171" s="84">
        <v>80.248077876984141</v>
      </c>
      <c r="P171" s="122">
        <v>1019.75057501498</v>
      </c>
      <c r="Q171" s="21">
        <v>1016.26505303174</v>
      </c>
      <c r="R171" s="70">
        <v>1017.9952592875341</v>
      </c>
      <c r="S171" s="75">
        <v>5.4</v>
      </c>
      <c r="T171" s="65">
        <v>3.4598386273024722</v>
      </c>
      <c r="U171" s="25">
        <v>1.2</v>
      </c>
      <c r="V171" s="223" t="s">
        <v>234</v>
      </c>
      <c r="W171" s="226"/>
      <c r="X171" s="26">
        <v>0</v>
      </c>
      <c r="Y171" s="27">
        <v>0</v>
      </c>
      <c r="Z171" s="28">
        <v>0</v>
      </c>
      <c r="AA171" s="30">
        <v>0</v>
      </c>
      <c r="AB171" s="328" t="s">
        <v>251</v>
      </c>
      <c r="AC171" s="29"/>
    </row>
    <row r="172" spans="1:29" s="20" customFormat="1" x14ac:dyDescent="0.3">
      <c r="A172" s="42">
        <v>43635</v>
      </c>
      <c r="B172" s="43">
        <v>19.7</v>
      </c>
      <c r="C172" s="14">
        <v>20.5</v>
      </c>
      <c r="D172" s="14">
        <v>20.399999999999999</v>
      </c>
      <c r="E172" s="14">
        <v>27.1</v>
      </c>
      <c r="F172" s="14">
        <v>16.899999999999999</v>
      </c>
      <c r="G172" s="68">
        <f t="shared" si="0"/>
        <v>10.200000000000003</v>
      </c>
      <c r="H172" s="68">
        <f t="shared" si="1"/>
        <v>20.25</v>
      </c>
      <c r="I172" s="82">
        <v>20.7</v>
      </c>
      <c r="J172" s="14">
        <v>21.169287431854599</v>
      </c>
      <c r="K172" s="14">
        <v>15.363931738409701</v>
      </c>
      <c r="L172" s="82">
        <v>18.763169938392686</v>
      </c>
      <c r="M172" s="88">
        <v>99</v>
      </c>
      <c r="N172" s="24">
        <v>68.25</v>
      </c>
      <c r="O172" s="84">
        <v>88.902963789682545</v>
      </c>
      <c r="P172" s="122">
        <v>1016.38148034472</v>
      </c>
      <c r="Q172" s="21">
        <v>1012.64486797836</v>
      </c>
      <c r="R172" s="70">
        <v>1014.5043468558072</v>
      </c>
      <c r="S172" s="75">
        <v>7.8</v>
      </c>
      <c r="T172" s="65">
        <v>4.1071632737010138</v>
      </c>
      <c r="U172" s="25">
        <v>0.8</v>
      </c>
      <c r="V172" s="223" t="s">
        <v>271</v>
      </c>
      <c r="W172" s="226" t="s">
        <v>301</v>
      </c>
      <c r="X172" s="26">
        <v>57.5</v>
      </c>
      <c r="Y172" s="27">
        <v>15.5</v>
      </c>
      <c r="Z172" s="28">
        <v>0</v>
      </c>
      <c r="AA172" s="30">
        <v>0</v>
      </c>
      <c r="AB172" s="328" t="s">
        <v>337</v>
      </c>
      <c r="AC172" s="29"/>
    </row>
    <row r="173" spans="1:29" s="20" customFormat="1" ht="28.8" x14ac:dyDescent="0.3">
      <c r="A173" s="42">
        <v>43636</v>
      </c>
      <c r="B173" s="43">
        <v>21</v>
      </c>
      <c r="C173" s="14">
        <v>27.1</v>
      </c>
      <c r="D173" s="14">
        <v>21.4</v>
      </c>
      <c r="E173" s="14">
        <v>27.5</v>
      </c>
      <c r="F173" s="14">
        <v>16.100000000000001</v>
      </c>
      <c r="G173" s="68">
        <f t="shared" si="0"/>
        <v>11.399999999999999</v>
      </c>
      <c r="H173" s="68">
        <f t="shared" si="1"/>
        <v>22.725000000000001</v>
      </c>
      <c r="I173" s="82">
        <v>21.6</v>
      </c>
      <c r="J173" s="14">
        <v>20.698083393451299</v>
      </c>
      <c r="K173" s="14">
        <v>15.194240373016999</v>
      </c>
      <c r="L173" s="82">
        <v>17.602867510573432</v>
      </c>
      <c r="M173" s="88">
        <v>99</v>
      </c>
      <c r="N173" s="24">
        <v>56</v>
      </c>
      <c r="O173" s="84">
        <v>79.918774801587318</v>
      </c>
      <c r="P173" s="122">
        <v>1014.0965858877699</v>
      </c>
      <c r="Q173" s="21">
        <v>1011.31684891208</v>
      </c>
      <c r="R173" s="70">
        <v>1013.0314276585127</v>
      </c>
      <c r="S173" s="75">
        <v>6.1</v>
      </c>
      <c r="T173" s="65">
        <v>3.8714478162538191</v>
      </c>
      <c r="U173" s="25">
        <v>1.2</v>
      </c>
      <c r="V173" s="223" t="s">
        <v>271</v>
      </c>
      <c r="W173" s="226" t="s">
        <v>223</v>
      </c>
      <c r="X173" s="26">
        <v>0</v>
      </c>
      <c r="Y173" s="27">
        <v>0</v>
      </c>
      <c r="Z173" s="28">
        <v>0</v>
      </c>
      <c r="AA173" s="30">
        <v>0</v>
      </c>
      <c r="AB173" s="328" t="s">
        <v>338</v>
      </c>
      <c r="AC173" s="29"/>
    </row>
    <row r="174" spans="1:29" s="20" customFormat="1" x14ac:dyDescent="0.3">
      <c r="A174" s="42">
        <v>43637</v>
      </c>
      <c r="B174" s="43">
        <v>18.3</v>
      </c>
      <c r="C174" s="14">
        <v>21.4</v>
      </c>
      <c r="D174" s="14">
        <v>19.3</v>
      </c>
      <c r="E174" s="14">
        <v>25.3</v>
      </c>
      <c r="F174" s="14">
        <v>15.1</v>
      </c>
      <c r="G174" s="68">
        <f t="shared" si="0"/>
        <v>10.200000000000001</v>
      </c>
      <c r="H174" s="68">
        <f t="shared" si="1"/>
        <v>19.575000000000003</v>
      </c>
      <c r="I174" s="82">
        <v>20</v>
      </c>
      <c r="J174" s="14">
        <v>20.439369010710099</v>
      </c>
      <c r="K174" s="14">
        <v>14.1403807239529</v>
      </c>
      <c r="L174" s="82">
        <v>17.735226728547801</v>
      </c>
      <c r="M174" s="88">
        <v>99</v>
      </c>
      <c r="N174" s="24">
        <v>70</v>
      </c>
      <c r="O174" s="84">
        <v>87.416046626984155</v>
      </c>
      <c r="P174" s="122">
        <v>1017.89503098475</v>
      </c>
      <c r="Q174" s="21">
        <v>1013.86372936884</v>
      </c>
      <c r="R174" s="70">
        <v>1015.8772443111734</v>
      </c>
      <c r="S174" s="75">
        <v>8.1999999999999993</v>
      </c>
      <c r="T174" s="65">
        <v>4.2794855588801939</v>
      </c>
      <c r="U174" s="25">
        <v>0.7</v>
      </c>
      <c r="V174" s="223" t="s">
        <v>234</v>
      </c>
      <c r="W174" s="226" t="s">
        <v>350</v>
      </c>
      <c r="X174" s="26">
        <v>65.900000000000006</v>
      </c>
      <c r="Y174" s="27">
        <v>27</v>
      </c>
      <c r="Z174" s="28">
        <v>0</v>
      </c>
      <c r="AA174" s="30">
        <v>0</v>
      </c>
      <c r="AB174" s="328" t="s">
        <v>345</v>
      </c>
      <c r="AC174" s="29"/>
    </row>
    <row r="175" spans="1:29" s="20" customFormat="1" x14ac:dyDescent="0.3">
      <c r="A175" s="42">
        <v>43638</v>
      </c>
      <c r="B175" s="43">
        <v>18.3</v>
      </c>
      <c r="C175" s="14">
        <v>27</v>
      </c>
      <c r="D175" s="14">
        <v>18.8</v>
      </c>
      <c r="E175" s="14">
        <v>27.4</v>
      </c>
      <c r="F175" s="14">
        <v>16.8</v>
      </c>
      <c r="G175" s="68">
        <f t="shared" si="0"/>
        <v>10.599999999999998</v>
      </c>
      <c r="H175" s="68">
        <f t="shared" si="1"/>
        <v>20.725000000000001</v>
      </c>
      <c r="I175" s="82">
        <v>21</v>
      </c>
      <c r="J175" s="14">
        <v>20.666853904208899</v>
      </c>
      <c r="K175" s="14">
        <v>14.669023033447701</v>
      </c>
      <c r="L175" s="82">
        <v>17.712104727003492</v>
      </c>
      <c r="M175" s="88">
        <v>99</v>
      </c>
      <c r="N175" s="24">
        <v>62.285714285714299</v>
      </c>
      <c r="O175" s="84">
        <v>83.307105654761912</v>
      </c>
      <c r="P175" s="122">
        <v>1020.36908702583</v>
      </c>
      <c r="Q175" s="21">
        <v>1017.26741780432</v>
      </c>
      <c r="R175" s="70">
        <v>1018.8077006230212</v>
      </c>
      <c r="S175" s="75">
        <v>7.8</v>
      </c>
      <c r="T175" s="65">
        <v>4.8357383239923202</v>
      </c>
      <c r="U175" s="25">
        <v>1.4</v>
      </c>
      <c r="V175" s="223" t="s">
        <v>229</v>
      </c>
      <c r="W175" s="226" t="s">
        <v>240</v>
      </c>
      <c r="X175" s="26">
        <v>0.4</v>
      </c>
      <c r="Y175" s="27">
        <v>0.1</v>
      </c>
      <c r="Z175" s="28">
        <v>0</v>
      </c>
      <c r="AA175" s="30">
        <v>0</v>
      </c>
      <c r="AB175" s="328" t="s">
        <v>345</v>
      </c>
      <c r="AC175" s="29"/>
    </row>
    <row r="176" spans="1:29" s="20" customFormat="1" x14ac:dyDescent="0.3">
      <c r="A176" s="42">
        <v>43639</v>
      </c>
      <c r="B176" s="43">
        <v>21</v>
      </c>
      <c r="C176" s="14">
        <v>26.3</v>
      </c>
      <c r="D176" s="14">
        <v>21.7</v>
      </c>
      <c r="E176" s="14">
        <v>27.2</v>
      </c>
      <c r="F176" s="14">
        <v>14.6</v>
      </c>
      <c r="G176" s="68">
        <f t="shared" si="0"/>
        <v>12.6</v>
      </c>
      <c r="H176" s="68">
        <f t="shared" si="1"/>
        <v>22.674999999999997</v>
      </c>
      <c r="I176" s="82">
        <v>21.6</v>
      </c>
      <c r="J176" s="14">
        <v>20.071486814883102</v>
      </c>
      <c r="K176" s="14">
        <v>13.842652637373201</v>
      </c>
      <c r="L176" s="82">
        <v>17.298846409777582</v>
      </c>
      <c r="M176" s="88">
        <v>99</v>
      </c>
      <c r="N176" s="24">
        <v>61.285714285714299</v>
      </c>
      <c r="O176" s="84">
        <v>76.387710813492049</v>
      </c>
      <c r="P176" s="122">
        <v>1019.33580739038</v>
      </c>
      <c r="Q176" s="21">
        <v>1016.77442214067</v>
      </c>
      <c r="R176" s="70">
        <v>1017.5883931921957</v>
      </c>
      <c r="S176" s="75">
        <v>9.1999999999999993</v>
      </c>
      <c r="T176" s="65">
        <v>5.8473504955364994</v>
      </c>
      <c r="U176" s="25">
        <v>2.2000000000000002</v>
      </c>
      <c r="V176" s="223" t="s">
        <v>254</v>
      </c>
      <c r="W176" s="226"/>
      <c r="X176" s="26">
        <v>0</v>
      </c>
      <c r="Y176" s="27">
        <v>0</v>
      </c>
      <c r="Z176" s="28">
        <v>0</v>
      </c>
      <c r="AA176" s="30">
        <v>0</v>
      </c>
      <c r="AB176" s="328" t="s">
        <v>248</v>
      </c>
      <c r="AC176" s="29"/>
    </row>
    <row r="177" spans="1:29" s="20" customFormat="1" x14ac:dyDescent="0.3">
      <c r="A177" s="42">
        <v>43640</v>
      </c>
      <c r="B177" s="43">
        <v>21.5</v>
      </c>
      <c r="C177" s="14">
        <v>24.5</v>
      </c>
      <c r="D177" s="14">
        <v>19.5</v>
      </c>
      <c r="E177" s="14">
        <v>26</v>
      </c>
      <c r="F177" s="14">
        <v>17.3</v>
      </c>
      <c r="G177" s="68">
        <f t="shared" si="0"/>
        <v>8.6999999999999993</v>
      </c>
      <c r="H177" s="68">
        <f t="shared" si="1"/>
        <v>21.25</v>
      </c>
      <c r="I177" s="82">
        <v>21.4</v>
      </c>
      <c r="J177" s="14">
        <v>20.117684506943899</v>
      </c>
      <c r="K177" s="14">
        <v>15.0088256292435</v>
      </c>
      <c r="L177" s="82">
        <v>17.413870259584236</v>
      </c>
      <c r="M177" s="88">
        <v>94</v>
      </c>
      <c r="N177" s="24">
        <v>66.571428571428598</v>
      </c>
      <c r="O177" s="84">
        <v>79.942522321428598</v>
      </c>
      <c r="P177" s="122">
        <v>1025.28802952561</v>
      </c>
      <c r="Q177" s="21">
        <v>1019.3067008496</v>
      </c>
      <c r="R177" s="70">
        <v>1022.2613270685846</v>
      </c>
      <c r="S177" s="75">
        <v>9.5</v>
      </c>
      <c r="T177" s="65">
        <v>6.3125313793622082</v>
      </c>
      <c r="U177" s="25">
        <v>2.1</v>
      </c>
      <c r="V177" s="223" t="s">
        <v>229</v>
      </c>
      <c r="W177" s="226"/>
      <c r="X177" s="26">
        <v>0</v>
      </c>
      <c r="Y177" s="27">
        <v>0</v>
      </c>
      <c r="Z177" s="28">
        <v>0</v>
      </c>
      <c r="AA177" s="30">
        <v>0</v>
      </c>
      <c r="AB177" s="328" t="s">
        <v>251</v>
      </c>
      <c r="AC177" s="29"/>
    </row>
    <row r="178" spans="1:29" s="20" customFormat="1" x14ac:dyDescent="0.3">
      <c r="A178" s="42">
        <v>43641</v>
      </c>
      <c r="B178" s="43">
        <v>20.6</v>
      </c>
      <c r="C178" s="14">
        <v>30.7</v>
      </c>
      <c r="D178" s="14">
        <v>21.6</v>
      </c>
      <c r="E178" s="14">
        <v>31.4</v>
      </c>
      <c r="F178" s="14">
        <v>14.9</v>
      </c>
      <c r="G178" s="68">
        <f t="shared" si="0"/>
        <v>16.5</v>
      </c>
      <c r="H178" s="68">
        <f t="shared" si="1"/>
        <v>23.625</v>
      </c>
      <c r="I178" s="82">
        <v>23.5</v>
      </c>
      <c r="J178" s="14">
        <v>21.715656167179201</v>
      </c>
      <c r="K178" s="14">
        <v>13.941895630939801</v>
      </c>
      <c r="L178" s="82">
        <v>18.038613069780506</v>
      </c>
      <c r="M178" s="88">
        <v>99</v>
      </c>
      <c r="N178" s="24">
        <v>44</v>
      </c>
      <c r="O178" s="84">
        <v>73.771825396825392</v>
      </c>
      <c r="P178" s="122">
        <v>1026.20486465418</v>
      </c>
      <c r="Q178" s="21">
        <v>1024.1528963999899</v>
      </c>
      <c r="R178" s="70">
        <v>1025.2569018961822</v>
      </c>
      <c r="S178" s="75">
        <v>4.4000000000000004</v>
      </c>
      <c r="T178" s="65">
        <v>2.3009042948538028</v>
      </c>
      <c r="U178" s="25">
        <v>0.7</v>
      </c>
      <c r="V178" s="223" t="s">
        <v>256</v>
      </c>
      <c r="W178" s="226"/>
      <c r="X178" s="26">
        <v>0</v>
      </c>
      <c r="Y178" s="27">
        <v>0</v>
      </c>
      <c r="Z178" s="28">
        <v>0</v>
      </c>
      <c r="AA178" s="30">
        <v>0</v>
      </c>
      <c r="AB178" s="328" t="s">
        <v>351</v>
      </c>
      <c r="AC178" s="29"/>
    </row>
    <row r="179" spans="1:29" s="20" customFormat="1" x14ac:dyDescent="0.3">
      <c r="A179" s="42">
        <v>43642</v>
      </c>
      <c r="B179" s="43">
        <v>19.8</v>
      </c>
      <c r="C179" s="14">
        <v>31.8</v>
      </c>
      <c r="D179" s="14">
        <v>23.5</v>
      </c>
      <c r="E179" s="14">
        <v>32.4</v>
      </c>
      <c r="F179" s="14">
        <v>16.2</v>
      </c>
      <c r="G179" s="68">
        <f t="shared" si="0"/>
        <v>16.2</v>
      </c>
      <c r="H179" s="68">
        <f t="shared" si="1"/>
        <v>24.65</v>
      </c>
      <c r="I179" s="82">
        <v>24.6</v>
      </c>
      <c r="J179" s="14">
        <v>21.272304186628698</v>
      </c>
      <c r="K179" s="14">
        <v>15.3064565419476</v>
      </c>
      <c r="L179" s="82">
        <v>18.55786629727444</v>
      </c>
      <c r="M179" s="88">
        <v>99</v>
      </c>
      <c r="N179" s="24">
        <v>37.714285714285701</v>
      </c>
      <c r="O179" s="84">
        <v>72.187189980158735</v>
      </c>
      <c r="P179" s="122">
        <v>1026.0884413055801</v>
      </c>
      <c r="Q179" s="21">
        <v>1019.32125413029</v>
      </c>
      <c r="R179" s="70">
        <v>1023.2366951299106</v>
      </c>
      <c r="S179" s="75">
        <v>5.8</v>
      </c>
      <c r="T179" s="65">
        <v>3.9259123727094165</v>
      </c>
      <c r="U179" s="25">
        <v>1.3</v>
      </c>
      <c r="V179" s="223" t="s">
        <v>230</v>
      </c>
      <c r="W179" s="226"/>
      <c r="X179" s="26">
        <v>0</v>
      </c>
      <c r="Y179" s="27">
        <v>0</v>
      </c>
      <c r="Z179" s="28">
        <v>0</v>
      </c>
      <c r="AA179" s="30">
        <v>0</v>
      </c>
      <c r="AB179" s="328" t="s">
        <v>352</v>
      </c>
      <c r="AC179" s="29"/>
    </row>
    <row r="180" spans="1:29" s="20" customFormat="1" ht="28.8" x14ac:dyDescent="0.3">
      <c r="A180" s="42">
        <v>43643</v>
      </c>
      <c r="B180" s="43">
        <v>23.5</v>
      </c>
      <c r="C180" s="14">
        <v>29</v>
      </c>
      <c r="D180" s="14">
        <v>20.3</v>
      </c>
      <c r="E180" s="14">
        <v>30</v>
      </c>
      <c r="F180" s="14">
        <v>15</v>
      </c>
      <c r="G180" s="68">
        <f t="shared" si="0"/>
        <v>15</v>
      </c>
      <c r="H180" s="68">
        <f t="shared" si="1"/>
        <v>23.274999999999999</v>
      </c>
      <c r="I180" s="82">
        <v>23.5</v>
      </c>
      <c r="J180" s="14">
        <v>24.7</v>
      </c>
      <c r="K180" s="14">
        <v>8.9669152957991791</v>
      </c>
      <c r="L180" s="82">
        <v>16.3808268597165</v>
      </c>
      <c r="M180" s="88">
        <v>99</v>
      </c>
      <c r="N180" s="24">
        <v>32</v>
      </c>
      <c r="O180" s="84">
        <v>69.680245535714292</v>
      </c>
      <c r="P180" s="122">
        <v>1019.30670085475</v>
      </c>
      <c r="Q180" s="21">
        <v>1013.9656041204699</v>
      </c>
      <c r="R180" s="70">
        <v>1016.7121362352203</v>
      </c>
      <c r="S180" s="75">
        <v>8.1999999999999993</v>
      </c>
      <c r="T180" s="65">
        <v>5.3785981653858332</v>
      </c>
      <c r="U180" s="25">
        <v>1.6</v>
      </c>
      <c r="V180" s="223" t="s">
        <v>227</v>
      </c>
      <c r="W180" s="226" t="s">
        <v>240</v>
      </c>
      <c r="X180" s="26">
        <v>30</v>
      </c>
      <c r="Y180" s="27">
        <v>4.0999999999999996</v>
      </c>
      <c r="Z180" s="28">
        <v>0</v>
      </c>
      <c r="AA180" s="30">
        <v>0</v>
      </c>
      <c r="AB180" s="328" t="s">
        <v>355</v>
      </c>
      <c r="AC180" s="29"/>
    </row>
    <row r="181" spans="1:29" s="20" customFormat="1" x14ac:dyDescent="0.3">
      <c r="A181" s="42">
        <v>43644</v>
      </c>
      <c r="B181" s="43">
        <v>18.8</v>
      </c>
      <c r="C181" s="14">
        <v>22</v>
      </c>
      <c r="D181" s="14">
        <v>16.899999999999999</v>
      </c>
      <c r="E181" s="14">
        <v>23.7</v>
      </c>
      <c r="F181" s="14">
        <v>12.5</v>
      </c>
      <c r="G181" s="68">
        <f t="shared" si="0"/>
        <v>11.2</v>
      </c>
      <c r="H181" s="68">
        <f t="shared" si="1"/>
        <v>18.649999999999999</v>
      </c>
      <c r="I181" s="82">
        <v>18.5</v>
      </c>
      <c r="J181" s="14">
        <v>14.7811546918337</v>
      </c>
      <c r="K181" s="14">
        <v>9.3126072728798501</v>
      </c>
      <c r="L181" s="82">
        <v>11.846008419272296</v>
      </c>
      <c r="M181" s="88">
        <v>90</v>
      </c>
      <c r="N181" s="24">
        <v>47.375</v>
      </c>
      <c r="O181" s="84">
        <v>67.079675099206369</v>
      </c>
      <c r="P181" s="122">
        <v>1020.96576795403</v>
      </c>
      <c r="Q181" s="21">
        <v>1018.05511761326</v>
      </c>
      <c r="R181" s="70">
        <v>1019.5549138019388</v>
      </c>
      <c r="S181" s="75">
        <v>8.1999999999999993</v>
      </c>
      <c r="T181" s="65">
        <v>5.0500251034897499</v>
      </c>
      <c r="U181" s="25">
        <v>2.2999999999999998</v>
      </c>
      <c r="V181" s="223" t="s">
        <v>227</v>
      </c>
      <c r="W181" s="226"/>
      <c r="X181" s="26">
        <v>0</v>
      </c>
      <c r="Y181" s="27">
        <v>0</v>
      </c>
      <c r="Z181" s="28">
        <v>0</v>
      </c>
      <c r="AA181" s="30">
        <v>0</v>
      </c>
      <c r="AB181" s="328" t="s">
        <v>251</v>
      </c>
      <c r="AC181" s="29"/>
    </row>
    <row r="182" spans="1:29" s="20" customFormat="1" x14ac:dyDescent="0.3">
      <c r="A182" s="42">
        <v>43645</v>
      </c>
      <c r="B182" s="43">
        <v>18.100000000000001</v>
      </c>
      <c r="C182" s="14">
        <v>26.2</v>
      </c>
      <c r="D182" s="14">
        <v>16.7</v>
      </c>
      <c r="E182" s="14">
        <v>26.9</v>
      </c>
      <c r="F182" s="14">
        <v>10.6</v>
      </c>
      <c r="G182" s="68">
        <f t="shared" si="0"/>
        <v>16.299999999999997</v>
      </c>
      <c r="H182" s="68">
        <f t="shared" si="1"/>
        <v>19.424999999999997</v>
      </c>
      <c r="I182" s="82">
        <v>19.2</v>
      </c>
      <c r="J182" s="14">
        <v>14.1794580348992</v>
      </c>
      <c r="K182" s="14">
        <v>8.9650681056118593</v>
      </c>
      <c r="L182" s="82">
        <v>10.831368326752404</v>
      </c>
      <c r="M182" s="88">
        <v>96.571428571428598</v>
      </c>
      <c r="N182" s="24">
        <v>35.857142857142897</v>
      </c>
      <c r="O182" s="84">
        <v>63.353858784893276</v>
      </c>
      <c r="P182" s="122">
        <v>1022.77035640509</v>
      </c>
      <c r="Q182" s="21">
        <v>1019.3067008599</v>
      </c>
      <c r="R182" s="70">
        <v>1020.9619334120028</v>
      </c>
      <c r="S182" s="75">
        <v>6.8</v>
      </c>
      <c r="T182" s="65">
        <v>4.2428782340493747</v>
      </c>
      <c r="U182" s="25">
        <v>1.2</v>
      </c>
      <c r="V182" s="223" t="s">
        <v>227</v>
      </c>
      <c r="W182" s="226"/>
      <c r="X182" s="26">
        <v>0</v>
      </c>
      <c r="Y182" s="27">
        <v>0</v>
      </c>
      <c r="Z182" s="28">
        <v>0</v>
      </c>
      <c r="AA182" s="30">
        <v>0</v>
      </c>
      <c r="AB182" s="328" t="s">
        <v>261</v>
      </c>
      <c r="AC182" s="29"/>
    </row>
    <row r="183" spans="1:29" s="322" customFormat="1" ht="15" thickBot="1" x14ac:dyDescent="0.35">
      <c r="A183" s="42">
        <v>43646</v>
      </c>
      <c r="B183" s="44">
        <v>17</v>
      </c>
      <c r="C183" s="22">
        <v>29.5</v>
      </c>
      <c r="D183" s="22">
        <v>25</v>
      </c>
      <c r="E183" s="22">
        <v>30.3</v>
      </c>
      <c r="F183" s="22">
        <v>10.4</v>
      </c>
      <c r="G183" s="320">
        <f t="shared" si="0"/>
        <v>19.899999999999999</v>
      </c>
      <c r="H183" s="320">
        <f t="shared" si="1"/>
        <v>24.125</v>
      </c>
      <c r="I183" s="83">
        <v>21.4</v>
      </c>
      <c r="J183" s="22">
        <v>17.098039850503199</v>
      </c>
      <c r="K183" s="22">
        <v>9.2951818551205001</v>
      </c>
      <c r="L183" s="83">
        <v>14.432685307563974</v>
      </c>
      <c r="M183" s="89">
        <v>98</v>
      </c>
      <c r="N183" s="71">
        <v>41.142857142857203</v>
      </c>
      <c r="O183" s="85">
        <v>66.311817956349188</v>
      </c>
      <c r="P183" s="123">
        <v>1021.24227820957</v>
      </c>
      <c r="Q183" s="72">
        <v>1017.35655714909</v>
      </c>
      <c r="R183" s="73">
        <v>1019.3147069414196</v>
      </c>
      <c r="S183" s="77">
        <v>7.8</v>
      </c>
      <c r="T183" s="67">
        <v>5.5857420522333747</v>
      </c>
      <c r="U183" s="45">
        <v>1.9</v>
      </c>
      <c r="V183" s="227" t="s">
        <v>226</v>
      </c>
      <c r="W183" s="228"/>
      <c r="X183" s="47">
        <v>0</v>
      </c>
      <c r="Y183" s="48">
        <v>0</v>
      </c>
      <c r="Z183" s="49">
        <v>0</v>
      </c>
      <c r="AA183" s="50">
        <v>0</v>
      </c>
      <c r="AB183" s="329" t="s">
        <v>356</v>
      </c>
      <c r="AC183" s="321"/>
    </row>
    <row r="184" spans="1:29" s="37" customFormat="1" x14ac:dyDescent="0.3">
      <c r="A184" s="42">
        <v>43647</v>
      </c>
      <c r="B184" s="79">
        <v>21.2</v>
      </c>
      <c r="C184" s="32">
        <v>31.5</v>
      </c>
      <c r="D184" s="32">
        <v>25.2</v>
      </c>
      <c r="E184" s="32">
        <v>31.7</v>
      </c>
      <c r="F184" s="32">
        <v>14.6</v>
      </c>
      <c r="G184" s="80">
        <f t="shared" si="0"/>
        <v>17.100000000000001</v>
      </c>
      <c r="H184" s="80">
        <f t="shared" si="1"/>
        <v>25.774999999999999</v>
      </c>
      <c r="I184" s="87">
        <v>24.3</v>
      </c>
      <c r="J184" s="323">
        <v>19.4822740192776</v>
      </c>
      <c r="K184" s="32">
        <v>13.244852569259301</v>
      </c>
      <c r="L184" s="87">
        <v>17.02170154256391</v>
      </c>
      <c r="M184" s="198">
        <v>99</v>
      </c>
      <c r="N184" s="33">
        <v>39</v>
      </c>
      <c r="O184" s="114">
        <v>66.109953703703695</v>
      </c>
      <c r="P184" s="124">
        <v>1018.09877759442</v>
      </c>
      <c r="Q184" s="34">
        <v>1013.13605155299</v>
      </c>
      <c r="R184" s="74">
        <v>1015.7083919636181</v>
      </c>
      <c r="S184" s="116">
        <v>9.5</v>
      </c>
      <c r="T184" s="35">
        <v>5.8500290802802084</v>
      </c>
      <c r="U184" s="35">
        <v>2.5</v>
      </c>
      <c r="V184" s="221" t="s">
        <v>226</v>
      </c>
      <c r="W184" s="229" t="s">
        <v>240</v>
      </c>
      <c r="X184" s="109">
        <v>0.4</v>
      </c>
      <c r="Y184" s="110">
        <v>0.1</v>
      </c>
      <c r="Z184" s="111">
        <v>0</v>
      </c>
      <c r="AA184" s="117">
        <v>0</v>
      </c>
      <c r="AB184" s="326" t="s">
        <v>261</v>
      </c>
      <c r="AC184" s="36"/>
    </row>
    <row r="185" spans="1:29" s="20" customFormat="1" x14ac:dyDescent="0.3">
      <c r="A185" s="42">
        <v>43648</v>
      </c>
      <c r="B185" s="43">
        <v>19.399999999999999</v>
      </c>
      <c r="C185" s="14">
        <v>27.9</v>
      </c>
      <c r="D185" s="14">
        <v>20.3</v>
      </c>
      <c r="E185" s="14">
        <v>30</v>
      </c>
      <c r="F185" s="14">
        <v>15.4</v>
      </c>
      <c r="G185" s="80">
        <f t="shared" si="0"/>
        <v>14.6</v>
      </c>
      <c r="H185" s="80">
        <f t="shared" si="1"/>
        <v>21.975000000000001</v>
      </c>
      <c r="I185" s="82">
        <v>23.2</v>
      </c>
      <c r="J185" s="208">
        <v>18.9470271382562</v>
      </c>
      <c r="K185" s="14">
        <v>10.5824786358287</v>
      </c>
      <c r="L185" s="82">
        <v>16.287473862656928</v>
      </c>
      <c r="M185" s="198">
        <v>96</v>
      </c>
      <c r="N185" s="33">
        <v>45.714285714285701</v>
      </c>
      <c r="O185" s="114">
        <v>69.625806051587318</v>
      </c>
      <c r="P185" s="122">
        <v>1017.63307087613</v>
      </c>
      <c r="Q185" s="21">
        <v>1013.7764081146699</v>
      </c>
      <c r="R185" s="74">
        <v>1015.2828901940497</v>
      </c>
      <c r="S185" s="75">
        <v>7.5</v>
      </c>
      <c r="T185" s="65">
        <v>4.1071632737010138</v>
      </c>
      <c r="U185" s="25">
        <v>1.3</v>
      </c>
      <c r="V185" s="223" t="s">
        <v>227</v>
      </c>
      <c r="W185" s="224" t="s">
        <v>223</v>
      </c>
      <c r="X185" s="16">
        <v>0</v>
      </c>
      <c r="Y185" s="17">
        <v>0</v>
      </c>
      <c r="Z185" s="18">
        <v>0</v>
      </c>
      <c r="AA185" s="46">
        <v>0</v>
      </c>
      <c r="AB185" s="327" t="s">
        <v>251</v>
      </c>
      <c r="AC185" s="29"/>
    </row>
    <row r="186" spans="1:29" s="20" customFormat="1" x14ac:dyDescent="0.3">
      <c r="A186" s="42">
        <v>43649</v>
      </c>
      <c r="B186" s="43">
        <v>17.7</v>
      </c>
      <c r="C186" s="14">
        <v>24.7</v>
      </c>
      <c r="D186" s="14">
        <v>17.3</v>
      </c>
      <c r="E186" s="14">
        <v>25.9</v>
      </c>
      <c r="F186" s="14">
        <v>10.9</v>
      </c>
      <c r="G186" s="80">
        <f t="shared" si="0"/>
        <v>14.999999999999998</v>
      </c>
      <c r="H186" s="80">
        <f t="shared" si="1"/>
        <v>19.25</v>
      </c>
      <c r="I186" s="82">
        <v>19.2</v>
      </c>
      <c r="J186" s="208">
        <v>14.3289724254421</v>
      </c>
      <c r="K186" s="14">
        <v>5.4775305084774599</v>
      </c>
      <c r="L186" s="82">
        <v>9.9612314730179694</v>
      </c>
      <c r="M186" s="198">
        <v>95.428571428571402</v>
      </c>
      <c r="N186" s="33">
        <v>36</v>
      </c>
      <c r="O186" s="114">
        <v>59.46602182539683</v>
      </c>
      <c r="P186" s="122">
        <v>1021.11311883913</v>
      </c>
      <c r="Q186" s="21">
        <v>1017.54756994564</v>
      </c>
      <c r="R186" s="74">
        <v>1018.910741723244</v>
      </c>
      <c r="S186" s="75">
        <v>9.1999999999999993</v>
      </c>
      <c r="T186" s="65">
        <v>4.9428817137410279</v>
      </c>
      <c r="U186" s="25">
        <v>1.7</v>
      </c>
      <c r="V186" s="223" t="s">
        <v>227</v>
      </c>
      <c r="W186" s="224"/>
      <c r="X186" s="16">
        <v>0</v>
      </c>
      <c r="Y186" s="17">
        <v>0</v>
      </c>
      <c r="Z186" s="18">
        <v>0</v>
      </c>
      <c r="AA186" s="46">
        <v>0</v>
      </c>
      <c r="AB186" s="327" t="s">
        <v>250</v>
      </c>
      <c r="AC186" s="29"/>
    </row>
    <row r="187" spans="1:29" s="20" customFormat="1" x14ac:dyDescent="0.3">
      <c r="A187" s="42">
        <v>43650</v>
      </c>
      <c r="B187" s="43">
        <v>15.7</v>
      </c>
      <c r="C187" s="14">
        <v>25.7</v>
      </c>
      <c r="D187" s="14">
        <v>15.8</v>
      </c>
      <c r="E187" s="14">
        <v>25.9</v>
      </c>
      <c r="F187" s="14">
        <v>8.6999999999999993</v>
      </c>
      <c r="G187" s="80">
        <f t="shared" si="0"/>
        <v>17.2</v>
      </c>
      <c r="H187" s="80">
        <f t="shared" si="1"/>
        <v>18.25</v>
      </c>
      <c r="I187" s="82">
        <v>17.899999999999999</v>
      </c>
      <c r="J187" s="208">
        <v>11.048279858435</v>
      </c>
      <c r="K187" s="14">
        <v>5.3613325635319997</v>
      </c>
      <c r="L187" s="82">
        <v>7.6836264461519521</v>
      </c>
      <c r="M187" s="198">
        <v>93</v>
      </c>
      <c r="N187" s="33">
        <v>28.285714285714299</v>
      </c>
      <c r="O187" s="114">
        <v>56.453807043650748</v>
      </c>
      <c r="P187" s="122">
        <v>1021.7225322256199</v>
      </c>
      <c r="Q187" s="21">
        <v>1018.47716373189</v>
      </c>
      <c r="R187" s="74">
        <v>1020.1977624193122</v>
      </c>
      <c r="S187" s="76">
        <v>6.5</v>
      </c>
      <c r="T187" s="66">
        <v>3.8116260903107779</v>
      </c>
      <c r="U187" s="19">
        <v>1.2</v>
      </c>
      <c r="V187" s="223" t="s">
        <v>229</v>
      </c>
      <c r="W187" s="225"/>
      <c r="X187" s="16">
        <v>0</v>
      </c>
      <c r="Y187" s="17">
        <v>0</v>
      </c>
      <c r="Z187" s="18">
        <v>0</v>
      </c>
      <c r="AA187" s="46">
        <v>0</v>
      </c>
      <c r="AB187" s="327" t="s">
        <v>316</v>
      </c>
      <c r="AC187" s="29"/>
    </row>
    <row r="188" spans="1:29" s="20" customFormat="1" x14ac:dyDescent="0.3">
      <c r="A188" s="42">
        <v>43651</v>
      </c>
      <c r="B188" s="43">
        <v>13.9</v>
      </c>
      <c r="C188" s="14">
        <v>24.6</v>
      </c>
      <c r="D188" s="14">
        <v>16.5</v>
      </c>
      <c r="E188" s="14">
        <v>25.5</v>
      </c>
      <c r="F188" s="14">
        <v>7.3</v>
      </c>
      <c r="G188" s="80">
        <f t="shared" si="0"/>
        <v>18.2</v>
      </c>
      <c r="H188" s="80">
        <f t="shared" si="1"/>
        <v>17.875</v>
      </c>
      <c r="I188" s="82">
        <v>16.7</v>
      </c>
      <c r="J188" s="208">
        <v>17.503497357277201</v>
      </c>
      <c r="K188" s="14">
        <v>5.3808371335252803</v>
      </c>
      <c r="L188" s="82">
        <v>11.383470705941098</v>
      </c>
      <c r="M188" s="198">
        <v>95.857142857142904</v>
      </c>
      <c r="N188" s="33">
        <v>41.285714285714299</v>
      </c>
      <c r="O188" s="114">
        <v>72.296068948412682</v>
      </c>
      <c r="P188" s="122">
        <v>1018.60814344864</v>
      </c>
      <c r="Q188" s="21">
        <v>1011.59336845965</v>
      </c>
      <c r="R188" s="74">
        <v>1014.5014423324753</v>
      </c>
      <c r="S188" s="75">
        <v>6.8</v>
      </c>
      <c r="T188" s="65">
        <v>4.3527002085418331</v>
      </c>
      <c r="U188" s="25">
        <v>1.1000000000000001</v>
      </c>
      <c r="V188" s="223" t="s">
        <v>233</v>
      </c>
      <c r="W188" s="225" t="s">
        <v>240</v>
      </c>
      <c r="X188" s="16">
        <v>3.6</v>
      </c>
      <c r="Y188" s="17">
        <v>1.3</v>
      </c>
      <c r="Z188" s="18">
        <v>0</v>
      </c>
      <c r="AA188" s="46">
        <v>0</v>
      </c>
      <c r="AB188" s="327" t="s">
        <v>302</v>
      </c>
      <c r="AC188" s="29"/>
    </row>
    <row r="189" spans="1:29" s="20" customFormat="1" x14ac:dyDescent="0.3">
      <c r="A189" s="42">
        <v>43652</v>
      </c>
      <c r="B189" s="43">
        <v>14.5</v>
      </c>
      <c r="C189" s="14">
        <v>26.9</v>
      </c>
      <c r="D189" s="14">
        <v>19.5</v>
      </c>
      <c r="E189" s="14">
        <v>27.9</v>
      </c>
      <c r="F189" s="14">
        <v>11.2</v>
      </c>
      <c r="G189" s="80">
        <f t="shared" si="0"/>
        <v>16.7</v>
      </c>
      <c r="H189" s="80">
        <f t="shared" si="1"/>
        <v>20.100000000000001</v>
      </c>
      <c r="I189" s="82">
        <v>20</v>
      </c>
      <c r="J189" s="208">
        <v>14.756949418246601</v>
      </c>
      <c r="K189" s="14">
        <v>9.83143683495096</v>
      </c>
      <c r="L189" s="82">
        <v>11.948516595065838</v>
      </c>
      <c r="M189" s="198">
        <v>97</v>
      </c>
      <c r="N189" s="33">
        <v>33</v>
      </c>
      <c r="O189" s="114">
        <v>64.339285714285737</v>
      </c>
      <c r="P189" s="122">
        <v>1014.12569293451</v>
      </c>
      <c r="Q189" s="21">
        <v>1007.3291161148099</v>
      </c>
      <c r="R189" s="74">
        <v>1010.8602032284068</v>
      </c>
      <c r="S189" s="75">
        <v>7.5</v>
      </c>
      <c r="T189" s="65">
        <v>4.2750212509740138</v>
      </c>
      <c r="U189" s="25">
        <v>1.5</v>
      </c>
      <c r="V189" s="223" t="s">
        <v>230</v>
      </c>
      <c r="W189" s="225"/>
      <c r="X189" s="16">
        <v>0</v>
      </c>
      <c r="Y189" s="17">
        <v>0</v>
      </c>
      <c r="Z189" s="18">
        <v>0</v>
      </c>
      <c r="AA189" s="46">
        <v>0</v>
      </c>
      <c r="AB189" s="327" t="s">
        <v>252</v>
      </c>
      <c r="AC189" s="29"/>
    </row>
    <row r="190" spans="1:29" s="20" customFormat="1" x14ac:dyDescent="0.3">
      <c r="A190" s="42">
        <v>43653</v>
      </c>
      <c r="B190" s="43">
        <v>18.7</v>
      </c>
      <c r="C190" s="14">
        <v>24.1</v>
      </c>
      <c r="D190" s="14">
        <v>15.8</v>
      </c>
      <c r="E190" s="14">
        <v>25.2</v>
      </c>
      <c r="F190" s="14">
        <v>13.9</v>
      </c>
      <c r="G190" s="80">
        <f t="shared" si="0"/>
        <v>11.299999999999999</v>
      </c>
      <c r="H190" s="80">
        <f t="shared" si="1"/>
        <v>18.600000000000001</v>
      </c>
      <c r="I190" s="82">
        <v>18.7</v>
      </c>
      <c r="J190" s="208">
        <v>19.8431971919691</v>
      </c>
      <c r="K190" s="14">
        <v>11.5241314387718</v>
      </c>
      <c r="L190" s="82">
        <v>15.577127771423941</v>
      </c>
      <c r="M190" s="198">
        <v>96</v>
      </c>
      <c r="N190" s="33">
        <v>65</v>
      </c>
      <c r="O190" s="114">
        <v>83.073652990607997</v>
      </c>
      <c r="P190" s="122">
        <v>1010.74925531697</v>
      </c>
      <c r="Q190" s="21">
        <v>1004.3018946972099</v>
      </c>
      <c r="R190" s="74">
        <v>1007.0364107015524</v>
      </c>
      <c r="S190" s="75">
        <v>15.6</v>
      </c>
      <c r="T190" s="65">
        <v>5.9009221904108617</v>
      </c>
      <c r="U190" s="25">
        <v>1.8</v>
      </c>
      <c r="V190" s="223" t="s">
        <v>409</v>
      </c>
      <c r="W190" s="225" t="s">
        <v>240</v>
      </c>
      <c r="X190" s="16">
        <v>76.7</v>
      </c>
      <c r="Y190" s="17">
        <v>21.5</v>
      </c>
      <c r="Z190" s="18">
        <v>0</v>
      </c>
      <c r="AA190" s="46">
        <v>0</v>
      </c>
      <c r="AB190" s="327" t="s">
        <v>287</v>
      </c>
      <c r="AC190" s="29"/>
    </row>
    <row r="191" spans="1:29" s="20" customFormat="1" x14ac:dyDescent="0.3">
      <c r="A191" s="42">
        <v>43654</v>
      </c>
      <c r="B191" s="43">
        <v>15.6</v>
      </c>
      <c r="C191" s="14">
        <v>22.1</v>
      </c>
      <c r="D191" s="14">
        <v>14.5</v>
      </c>
      <c r="E191" s="14">
        <v>23</v>
      </c>
      <c r="F191" s="14">
        <v>10.4</v>
      </c>
      <c r="G191" s="80">
        <f t="shared" si="0"/>
        <v>12.6</v>
      </c>
      <c r="H191" s="80">
        <f t="shared" si="1"/>
        <v>16.675000000000001</v>
      </c>
      <c r="I191" s="82">
        <v>16.399999999999999</v>
      </c>
      <c r="J191" s="208">
        <v>13.9263364781885</v>
      </c>
      <c r="K191" s="14">
        <v>5.9395564006999599</v>
      </c>
      <c r="L191" s="82">
        <v>9.5757931780141199</v>
      </c>
      <c r="M191" s="198">
        <v>98</v>
      </c>
      <c r="N191" s="33">
        <v>41.75</v>
      </c>
      <c r="O191" s="114">
        <v>68.375682043650798</v>
      </c>
      <c r="P191" s="122">
        <v>1014.91158217673</v>
      </c>
      <c r="Q191" s="21">
        <v>1010.74925531697</v>
      </c>
      <c r="R191" s="74">
        <v>1013.0660479347584</v>
      </c>
      <c r="S191" s="75">
        <v>8.1999999999999993</v>
      </c>
      <c r="T191" s="65">
        <v>4.2375210645619585</v>
      </c>
      <c r="U191" s="25">
        <v>1.5</v>
      </c>
      <c r="V191" s="223" t="s">
        <v>227</v>
      </c>
      <c r="W191" s="225"/>
      <c r="X191" s="16">
        <v>0</v>
      </c>
      <c r="Y191" s="17">
        <v>0</v>
      </c>
      <c r="Z191" s="18">
        <v>0</v>
      </c>
      <c r="AA191" s="46">
        <v>0</v>
      </c>
      <c r="AB191" s="327" t="s">
        <v>251</v>
      </c>
      <c r="AC191" s="29"/>
    </row>
    <row r="192" spans="1:29" s="20" customFormat="1" x14ac:dyDescent="0.3">
      <c r="A192" s="42">
        <v>43655</v>
      </c>
      <c r="B192" s="43">
        <v>13.2</v>
      </c>
      <c r="C192" s="14">
        <v>19.8</v>
      </c>
      <c r="D192" s="14">
        <v>12.7</v>
      </c>
      <c r="E192" s="14">
        <v>21.1</v>
      </c>
      <c r="F192" s="14">
        <v>7.4</v>
      </c>
      <c r="G192" s="80">
        <f t="shared" si="0"/>
        <v>13.700000000000001</v>
      </c>
      <c r="H192" s="80">
        <f t="shared" si="1"/>
        <v>14.6</v>
      </c>
      <c r="I192" s="82">
        <v>14.3</v>
      </c>
      <c r="J192" s="208">
        <v>12.771770037346901</v>
      </c>
      <c r="K192" s="14">
        <v>5.33880091676739</v>
      </c>
      <c r="L192" s="82">
        <v>8.284371728856307</v>
      </c>
      <c r="M192" s="198">
        <v>98</v>
      </c>
      <c r="N192" s="33">
        <v>42.428571428571402</v>
      </c>
      <c r="O192" s="114">
        <v>69.831473214285708</v>
      </c>
      <c r="P192" s="122">
        <v>1015.45006058019</v>
      </c>
      <c r="Q192" s="21">
        <v>1012.5539079753</v>
      </c>
      <c r="R192" s="74">
        <v>1013.993509536455</v>
      </c>
      <c r="S192" s="75">
        <v>8.1999999999999993</v>
      </c>
      <c r="T192" s="65">
        <v>5.2187759423439868</v>
      </c>
      <c r="U192" s="25">
        <v>0.9</v>
      </c>
      <c r="V192" s="223" t="s">
        <v>233</v>
      </c>
      <c r="W192" s="225" t="s">
        <v>240</v>
      </c>
      <c r="X192" s="16">
        <v>0.4</v>
      </c>
      <c r="Y192" s="17">
        <v>0.1</v>
      </c>
      <c r="Z192" s="18">
        <v>0</v>
      </c>
      <c r="AA192" s="46">
        <v>0</v>
      </c>
      <c r="AB192" s="327" t="s">
        <v>266</v>
      </c>
      <c r="AC192" s="29"/>
    </row>
    <row r="193" spans="1:29" s="20" customFormat="1" x14ac:dyDescent="0.3">
      <c r="A193" s="42">
        <v>43656</v>
      </c>
      <c r="B193" s="43">
        <v>9.5</v>
      </c>
      <c r="C193" s="14">
        <v>21.2</v>
      </c>
      <c r="D193" s="14">
        <v>14.7</v>
      </c>
      <c r="E193" s="14">
        <v>22.2</v>
      </c>
      <c r="F193" s="14">
        <v>5.4</v>
      </c>
      <c r="G193" s="80">
        <f t="shared" si="0"/>
        <v>16.799999999999997</v>
      </c>
      <c r="H193" s="80">
        <f t="shared" si="1"/>
        <v>15.024999999999999</v>
      </c>
      <c r="I193" s="82">
        <v>13.9</v>
      </c>
      <c r="J193" s="208">
        <v>11.294104419979501</v>
      </c>
      <c r="K193" s="14">
        <v>4.2196639832224898</v>
      </c>
      <c r="L193" s="82">
        <v>8.1661857281837005</v>
      </c>
      <c r="M193" s="198">
        <v>98</v>
      </c>
      <c r="N193" s="33">
        <v>43.428571428571402</v>
      </c>
      <c r="O193" s="114">
        <v>70.559585813492035</v>
      </c>
      <c r="P193" s="122">
        <v>1013.93649705302</v>
      </c>
      <c r="Q193" s="21">
        <v>1011.73890496386</v>
      </c>
      <c r="R193" s="74">
        <v>1013.0626197410199</v>
      </c>
      <c r="S193" s="75">
        <v>9.5</v>
      </c>
      <c r="T193" s="65">
        <v>5.0571679961396807</v>
      </c>
      <c r="U193" s="25">
        <v>1.2</v>
      </c>
      <c r="V193" s="223" t="s">
        <v>230</v>
      </c>
      <c r="W193" s="225" t="s">
        <v>223</v>
      </c>
      <c r="X193" s="16">
        <v>0</v>
      </c>
      <c r="Y193" s="17">
        <v>0</v>
      </c>
      <c r="Z193" s="18">
        <v>0</v>
      </c>
      <c r="AA193" s="46">
        <v>0</v>
      </c>
      <c r="AB193" s="327" t="s">
        <v>251</v>
      </c>
      <c r="AC193" s="29"/>
    </row>
    <row r="194" spans="1:29" s="20" customFormat="1" x14ac:dyDescent="0.3">
      <c r="A194" s="42">
        <v>43657</v>
      </c>
      <c r="B194" s="43">
        <v>14.5</v>
      </c>
      <c r="C194" s="14">
        <v>13.2</v>
      </c>
      <c r="D194" s="14">
        <v>11.2</v>
      </c>
      <c r="E194" s="14">
        <v>18.7</v>
      </c>
      <c r="F194" s="14">
        <v>9.1</v>
      </c>
      <c r="G194" s="80">
        <f t="shared" si="0"/>
        <v>9.6</v>
      </c>
      <c r="H194" s="80">
        <f t="shared" si="1"/>
        <v>12.524999999999999</v>
      </c>
      <c r="I194" s="82">
        <v>13.1</v>
      </c>
      <c r="J194" s="208">
        <v>13.242099707341</v>
      </c>
      <c r="K194" s="14">
        <v>7.2141455020599903</v>
      </c>
      <c r="L194" s="82">
        <v>10.286849983602963</v>
      </c>
      <c r="M194" s="198">
        <v>96</v>
      </c>
      <c r="N194" s="33">
        <v>61.857142857142897</v>
      </c>
      <c r="O194" s="114">
        <v>83.674727182539698</v>
      </c>
      <c r="P194" s="122">
        <v>1013.61631912453</v>
      </c>
      <c r="Q194" s="21">
        <v>1011.50604652597</v>
      </c>
      <c r="R194" s="74">
        <v>1012.5058059975513</v>
      </c>
      <c r="S194" s="75">
        <v>6.5</v>
      </c>
      <c r="T194" s="65">
        <v>3.1696586133996942</v>
      </c>
      <c r="U194" s="25">
        <v>0.9</v>
      </c>
      <c r="V194" s="223" t="s">
        <v>234</v>
      </c>
      <c r="W194" s="225" t="s">
        <v>240</v>
      </c>
      <c r="X194" s="16">
        <v>20.5</v>
      </c>
      <c r="Y194" s="17">
        <v>6.3</v>
      </c>
      <c r="Z194" s="18">
        <v>0</v>
      </c>
      <c r="AA194" s="46">
        <v>0</v>
      </c>
      <c r="AB194" s="327" t="s">
        <v>302</v>
      </c>
      <c r="AC194" s="29"/>
    </row>
    <row r="195" spans="1:29" s="20" customFormat="1" x14ac:dyDescent="0.3">
      <c r="A195" s="42">
        <v>43658</v>
      </c>
      <c r="B195" s="43">
        <v>9.6999999999999993</v>
      </c>
      <c r="C195" s="14">
        <v>23.8</v>
      </c>
      <c r="D195" s="14">
        <v>14.2</v>
      </c>
      <c r="E195" s="14">
        <v>24.3</v>
      </c>
      <c r="F195" s="14">
        <v>7.4</v>
      </c>
      <c r="G195" s="80">
        <f t="shared" si="0"/>
        <v>16.899999999999999</v>
      </c>
      <c r="H195" s="80">
        <f t="shared" si="1"/>
        <v>15.475</v>
      </c>
      <c r="I195" s="82">
        <v>15.6</v>
      </c>
      <c r="J195" s="208">
        <v>12.1477970596875</v>
      </c>
      <c r="K195" s="14">
        <v>6.4828657139996801</v>
      </c>
      <c r="L195" s="82">
        <v>9.0951292851991958</v>
      </c>
      <c r="M195" s="198">
        <v>99</v>
      </c>
      <c r="N195" s="33">
        <v>34.714285714285701</v>
      </c>
      <c r="O195" s="114">
        <v>69.079592427248656</v>
      </c>
      <c r="P195" s="122">
        <v>1013.63087265307</v>
      </c>
      <c r="Q195" s="21">
        <v>1010.21076804527</v>
      </c>
      <c r="R195" s="74">
        <v>1011.9504357534489</v>
      </c>
      <c r="S195" s="75">
        <v>8.1999999999999993</v>
      </c>
      <c r="T195" s="65">
        <v>3.0196578677514863</v>
      </c>
      <c r="U195" s="25">
        <v>1</v>
      </c>
      <c r="V195" s="223" t="s">
        <v>226</v>
      </c>
      <c r="W195" s="225"/>
      <c r="X195" s="16">
        <v>0</v>
      </c>
      <c r="Y195" s="17">
        <v>0</v>
      </c>
      <c r="Z195" s="18">
        <v>0</v>
      </c>
      <c r="AA195" s="46">
        <v>0</v>
      </c>
      <c r="AB195" s="327" t="s">
        <v>368</v>
      </c>
      <c r="AC195" s="29"/>
    </row>
    <row r="196" spans="1:29" s="20" customFormat="1" x14ac:dyDescent="0.3">
      <c r="A196" s="42">
        <v>43659</v>
      </c>
      <c r="B196" s="43">
        <v>13.9</v>
      </c>
      <c r="C196" s="14">
        <v>21.8</v>
      </c>
      <c r="D196" s="14">
        <v>14.4</v>
      </c>
      <c r="E196" s="14">
        <v>22.3</v>
      </c>
      <c r="F196" s="14">
        <v>11</v>
      </c>
      <c r="G196" s="80">
        <f t="shared" si="0"/>
        <v>11.3</v>
      </c>
      <c r="H196" s="80">
        <f t="shared" si="1"/>
        <v>16.125</v>
      </c>
      <c r="I196" s="82">
        <v>16.399999999999999</v>
      </c>
      <c r="J196" s="208">
        <v>14.4980694432859</v>
      </c>
      <c r="K196" s="14">
        <v>9.9479881121997202</v>
      </c>
      <c r="L196" s="82">
        <v>11.726759875777574</v>
      </c>
      <c r="M196" s="198">
        <v>98</v>
      </c>
      <c r="N196" s="33">
        <v>51.142857142857203</v>
      </c>
      <c r="O196" s="114">
        <v>75.174603174603149</v>
      </c>
      <c r="P196" s="122">
        <v>1011.11309748931</v>
      </c>
      <c r="Q196" s="21">
        <v>1008.65351530449</v>
      </c>
      <c r="R196" s="74">
        <v>1009.9180502050434</v>
      </c>
      <c r="S196" s="75">
        <v>9.1999999999999993</v>
      </c>
      <c r="T196" s="65">
        <v>5.3384193942300691</v>
      </c>
      <c r="U196" s="25">
        <v>1.4</v>
      </c>
      <c r="V196" s="223" t="s">
        <v>230</v>
      </c>
      <c r="W196" s="226" t="s">
        <v>240</v>
      </c>
      <c r="X196" s="26">
        <v>6</v>
      </c>
      <c r="Y196" s="27">
        <v>2.6</v>
      </c>
      <c r="Z196" s="28">
        <v>0</v>
      </c>
      <c r="AA196" s="30">
        <v>0</v>
      </c>
      <c r="AB196" s="328" t="s">
        <v>372</v>
      </c>
      <c r="AC196" s="29"/>
    </row>
    <row r="197" spans="1:29" s="20" customFormat="1" x14ac:dyDescent="0.3">
      <c r="A197" s="42">
        <v>43660</v>
      </c>
      <c r="B197" s="43">
        <v>13.6</v>
      </c>
      <c r="C197" s="14">
        <v>21.5</v>
      </c>
      <c r="D197" s="14">
        <v>14.1</v>
      </c>
      <c r="E197" s="14">
        <v>22.3</v>
      </c>
      <c r="F197" s="14">
        <v>10.5</v>
      </c>
      <c r="G197" s="80">
        <f t="shared" si="0"/>
        <v>11.8</v>
      </c>
      <c r="H197" s="80">
        <f t="shared" si="1"/>
        <v>15.824999999999999</v>
      </c>
      <c r="I197" s="82">
        <v>15.6</v>
      </c>
      <c r="J197" s="208">
        <v>16.402551917298599</v>
      </c>
      <c r="K197" s="14">
        <v>7.6452693987591003</v>
      </c>
      <c r="L197" s="82">
        <v>12.069345749746496</v>
      </c>
      <c r="M197" s="198">
        <v>99</v>
      </c>
      <c r="N197" s="33">
        <v>61</v>
      </c>
      <c r="O197" s="114">
        <v>81.572792658730179</v>
      </c>
      <c r="P197" s="122">
        <v>1012.49569354492</v>
      </c>
      <c r="Q197" s="21">
        <v>1009.51218843717</v>
      </c>
      <c r="R197" s="74">
        <v>1011.0325394186964</v>
      </c>
      <c r="S197" s="75">
        <v>9.1999999999999993</v>
      </c>
      <c r="T197" s="65">
        <v>4.9357388210911246</v>
      </c>
      <c r="U197" s="25">
        <v>1.2</v>
      </c>
      <c r="V197" s="223" t="s">
        <v>233</v>
      </c>
      <c r="W197" s="226" t="s">
        <v>240</v>
      </c>
      <c r="X197" s="26">
        <v>0.4</v>
      </c>
      <c r="Y197" s="27">
        <v>0.1</v>
      </c>
      <c r="Z197" s="28">
        <v>0</v>
      </c>
      <c r="AA197" s="30">
        <v>0</v>
      </c>
      <c r="AB197" s="328" t="s">
        <v>374</v>
      </c>
      <c r="AC197" s="29"/>
    </row>
    <row r="198" spans="1:29" s="20" customFormat="1" x14ac:dyDescent="0.3">
      <c r="A198" s="42">
        <v>43661</v>
      </c>
      <c r="B198" s="43">
        <v>13.4</v>
      </c>
      <c r="C198" s="14">
        <v>21.5</v>
      </c>
      <c r="D198" s="14">
        <v>13.9</v>
      </c>
      <c r="E198" s="14">
        <v>25.1</v>
      </c>
      <c r="F198" s="14">
        <v>7.3</v>
      </c>
      <c r="G198" s="80">
        <f t="shared" si="0"/>
        <v>17.8</v>
      </c>
      <c r="H198" s="80">
        <f t="shared" si="1"/>
        <v>15.675000000000001</v>
      </c>
      <c r="I198" s="82">
        <v>16.399999999999999</v>
      </c>
      <c r="J198" s="208">
        <v>13.3071841634517</v>
      </c>
      <c r="K198" s="14">
        <v>6.0451586113917797</v>
      </c>
      <c r="L198" s="82">
        <v>9.0400047066726614</v>
      </c>
      <c r="M198" s="198">
        <v>98</v>
      </c>
      <c r="N198" s="33">
        <v>33.714285714285701</v>
      </c>
      <c r="O198" s="114">
        <v>66.17799272486775</v>
      </c>
      <c r="P198" s="122">
        <v>1013.86372936884</v>
      </c>
      <c r="Q198" s="21">
        <v>1011.9426559347301</v>
      </c>
      <c r="R198" s="74">
        <v>1012.5756620984185</v>
      </c>
      <c r="S198" s="75">
        <v>7.8</v>
      </c>
      <c r="T198" s="65">
        <v>5.1071682446890696</v>
      </c>
      <c r="U198" s="25">
        <v>1.8</v>
      </c>
      <c r="V198" s="223" t="s">
        <v>255</v>
      </c>
      <c r="W198" s="226"/>
      <c r="X198" s="26">
        <v>0</v>
      </c>
      <c r="Y198" s="27">
        <v>0</v>
      </c>
      <c r="Z198" s="28">
        <v>0</v>
      </c>
      <c r="AA198" s="30">
        <v>0</v>
      </c>
      <c r="AB198" s="328" t="s">
        <v>252</v>
      </c>
      <c r="AC198" s="29"/>
    </row>
    <row r="199" spans="1:29" s="20" customFormat="1" x14ac:dyDescent="0.3">
      <c r="A199" s="42">
        <v>43662</v>
      </c>
      <c r="B199" s="43">
        <v>12.7</v>
      </c>
      <c r="C199" s="14">
        <v>24.1</v>
      </c>
      <c r="D199" s="14">
        <v>17.3</v>
      </c>
      <c r="E199" s="14">
        <v>25.7</v>
      </c>
      <c r="F199" s="14">
        <v>5.9</v>
      </c>
      <c r="G199" s="80">
        <f t="shared" si="0"/>
        <v>19.799999999999997</v>
      </c>
      <c r="H199" s="80">
        <f t="shared" si="1"/>
        <v>17.850000000000001</v>
      </c>
      <c r="I199" s="82">
        <v>16.8</v>
      </c>
      <c r="J199" s="208">
        <v>13.689909306940701</v>
      </c>
      <c r="K199" s="14">
        <v>4.7006118671621904</v>
      </c>
      <c r="L199" s="82">
        <v>9.4513448747109781</v>
      </c>
      <c r="M199" s="198">
        <v>95.428571428571402</v>
      </c>
      <c r="N199" s="33">
        <v>33</v>
      </c>
      <c r="O199" s="114">
        <v>63.689546130952422</v>
      </c>
      <c r="P199" s="122">
        <v>1013.84917582993</v>
      </c>
      <c r="Q199" s="21">
        <v>1009.48308091272</v>
      </c>
      <c r="R199" s="74">
        <v>1012.0372386014917</v>
      </c>
      <c r="S199" s="75">
        <v>8.1999999999999993</v>
      </c>
      <c r="T199" s="65">
        <v>6.5000323114224585</v>
      </c>
      <c r="U199" s="25">
        <v>1</v>
      </c>
      <c r="V199" s="223" t="s">
        <v>233</v>
      </c>
      <c r="W199" s="226"/>
      <c r="X199" s="26">
        <v>0</v>
      </c>
      <c r="Y199" s="27">
        <v>0</v>
      </c>
      <c r="Z199" s="28">
        <v>0</v>
      </c>
      <c r="AA199" s="30">
        <v>0</v>
      </c>
      <c r="AB199" s="328" t="s">
        <v>252</v>
      </c>
      <c r="AC199" s="29"/>
    </row>
    <row r="200" spans="1:29" s="20" customFormat="1" x14ac:dyDescent="0.3">
      <c r="A200" s="42">
        <v>43663</v>
      </c>
      <c r="B200" s="43">
        <v>14.2</v>
      </c>
      <c r="C200" s="14">
        <v>23.9</v>
      </c>
      <c r="D200" s="14">
        <v>16.7</v>
      </c>
      <c r="E200" s="14">
        <v>24.6</v>
      </c>
      <c r="F200" s="14">
        <v>8</v>
      </c>
      <c r="G200" s="80">
        <f t="shared" si="0"/>
        <v>16.600000000000001</v>
      </c>
      <c r="H200" s="80">
        <f t="shared" si="1"/>
        <v>17.875</v>
      </c>
      <c r="I200" s="82">
        <v>17.399999999999999</v>
      </c>
      <c r="J200" s="208">
        <v>12.5092725299533</v>
      </c>
      <c r="K200" s="14">
        <v>5.7232288221496903</v>
      </c>
      <c r="L200" s="82">
        <v>9.0775175494152194</v>
      </c>
      <c r="M200" s="198">
        <v>94</v>
      </c>
      <c r="N200" s="33">
        <v>38.571428571428598</v>
      </c>
      <c r="O200" s="114">
        <v>62.200582837301596</v>
      </c>
      <c r="P200" s="122">
        <v>1013.44167645558</v>
      </c>
      <c r="Q200" s="21">
        <v>1010.9384533050099</v>
      </c>
      <c r="R200" s="74">
        <v>1011.9793992710183</v>
      </c>
      <c r="S200" s="75">
        <v>9.1999999999999993</v>
      </c>
      <c r="T200" s="65">
        <v>5.5500275889837916</v>
      </c>
      <c r="U200" s="25">
        <v>1.7</v>
      </c>
      <c r="V200" s="223" t="s">
        <v>230</v>
      </c>
      <c r="W200" s="226"/>
      <c r="X200" s="26">
        <v>0</v>
      </c>
      <c r="Y200" s="27">
        <v>0</v>
      </c>
      <c r="Z200" s="28">
        <v>0</v>
      </c>
      <c r="AA200" s="30">
        <v>0</v>
      </c>
      <c r="AB200" s="328" t="s">
        <v>251</v>
      </c>
      <c r="AC200" s="29"/>
    </row>
    <row r="201" spans="1:29" s="20" customFormat="1" x14ac:dyDescent="0.3">
      <c r="A201" s="42">
        <v>43664</v>
      </c>
      <c r="B201" s="43">
        <v>13.7</v>
      </c>
      <c r="C201" s="14">
        <v>22.2</v>
      </c>
      <c r="D201" s="14">
        <v>15.1</v>
      </c>
      <c r="E201" s="14">
        <v>24.8</v>
      </c>
      <c r="F201" s="14">
        <v>7.1</v>
      </c>
      <c r="G201" s="80">
        <f t="shared" si="0"/>
        <v>17.700000000000003</v>
      </c>
      <c r="H201" s="80">
        <f t="shared" si="1"/>
        <v>16.524999999999999</v>
      </c>
      <c r="I201" s="82">
        <v>16.600000000000001</v>
      </c>
      <c r="J201" s="208">
        <v>12.4869838211524</v>
      </c>
      <c r="K201" s="14">
        <v>5.8298116441421604</v>
      </c>
      <c r="L201" s="82">
        <v>9.8813700416971315</v>
      </c>
      <c r="M201" s="198">
        <v>96</v>
      </c>
      <c r="N201" s="33">
        <v>40.714285714285701</v>
      </c>
      <c r="O201" s="114">
        <v>67.4214409722222</v>
      </c>
      <c r="P201" s="122">
        <v>1015.81571596396</v>
      </c>
      <c r="Q201" s="21">
        <v>1013.0778372419001</v>
      </c>
      <c r="R201" s="74">
        <v>1013.9423327134641</v>
      </c>
      <c r="S201" s="75">
        <v>3.7</v>
      </c>
      <c r="T201" s="65">
        <v>1.8357234110281013</v>
      </c>
      <c r="U201" s="25">
        <v>0.8</v>
      </c>
      <c r="V201" s="223" t="s">
        <v>233</v>
      </c>
      <c r="W201" s="226"/>
      <c r="X201" s="26">
        <v>0</v>
      </c>
      <c r="Y201" s="27">
        <v>0</v>
      </c>
      <c r="Z201" s="28">
        <v>0</v>
      </c>
      <c r="AA201" s="30">
        <v>0</v>
      </c>
      <c r="AB201" s="328" t="s">
        <v>251</v>
      </c>
      <c r="AC201" s="29"/>
    </row>
    <row r="202" spans="1:29" s="20" customFormat="1" x14ac:dyDescent="0.3">
      <c r="A202" s="42">
        <v>43665</v>
      </c>
      <c r="B202" s="43">
        <v>14.3</v>
      </c>
      <c r="C202" s="14">
        <v>27.1</v>
      </c>
      <c r="D202" s="14">
        <v>15.7</v>
      </c>
      <c r="E202" s="14">
        <v>27.5</v>
      </c>
      <c r="F202" s="14">
        <v>8.5</v>
      </c>
      <c r="G202" s="80">
        <f t="shared" si="0"/>
        <v>19</v>
      </c>
      <c r="H202" s="80">
        <f t="shared" si="1"/>
        <v>18.200000000000003</v>
      </c>
      <c r="I202" s="82">
        <v>17.399999999999999</v>
      </c>
      <c r="J202" s="208">
        <v>16.5302407316752</v>
      </c>
      <c r="K202" s="14">
        <v>7.1152674488166099</v>
      </c>
      <c r="L202" s="82">
        <v>12.875390974812534</v>
      </c>
      <c r="M202" s="198">
        <v>98</v>
      </c>
      <c r="N202" s="33">
        <v>39.5</v>
      </c>
      <c r="O202" s="114">
        <v>76.710701927829945</v>
      </c>
      <c r="P202" s="122">
        <v>1017.85137098813</v>
      </c>
      <c r="Q202" s="21">
        <v>1014.98434958656</v>
      </c>
      <c r="R202" s="74">
        <v>1016.558827169914</v>
      </c>
      <c r="S202" s="75">
        <v>8.8000000000000007</v>
      </c>
      <c r="T202" s="65">
        <v>5.1312755073825409</v>
      </c>
      <c r="U202" s="25">
        <v>1.2</v>
      </c>
      <c r="V202" s="223" t="s">
        <v>233</v>
      </c>
      <c r="W202" s="226" t="s">
        <v>240</v>
      </c>
      <c r="X202" s="26">
        <v>85.2</v>
      </c>
      <c r="Y202" s="27">
        <v>23.5</v>
      </c>
      <c r="Z202" s="28">
        <v>0</v>
      </c>
      <c r="AA202" s="30">
        <v>0</v>
      </c>
      <c r="AB202" s="328" t="s">
        <v>376</v>
      </c>
      <c r="AC202" s="29"/>
    </row>
    <row r="203" spans="1:29" s="20" customFormat="1" x14ac:dyDescent="0.3">
      <c r="A203" s="42">
        <v>43666</v>
      </c>
      <c r="B203" s="43">
        <v>15.7</v>
      </c>
      <c r="C203" s="14">
        <v>25.8</v>
      </c>
      <c r="D203" s="14">
        <v>18.5</v>
      </c>
      <c r="E203" s="14">
        <v>26.2</v>
      </c>
      <c r="F203" s="14">
        <v>13.4</v>
      </c>
      <c r="G203" s="80">
        <f t="shared" si="0"/>
        <v>12.799999999999999</v>
      </c>
      <c r="H203" s="80">
        <f t="shared" si="1"/>
        <v>19.625</v>
      </c>
      <c r="I203" s="82">
        <v>19</v>
      </c>
      <c r="J203" s="208">
        <v>19.924932652415102</v>
      </c>
      <c r="K203" s="14">
        <v>12.614634124494501</v>
      </c>
      <c r="L203" s="82">
        <v>16.744545051612754</v>
      </c>
      <c r="M203" s="198">
        <v>99</v>
      </c>
      <c r="N203" s="33">
        <v>57</v>
      </c>
      <c r="O203" s="114">
        <v>86.813854679803015</v>
      </c>
      <c r="P203" s="122">
        <v>1019.9324904472001</v>
      </c>
      <c r="Q203" s="21">
        <v>1017.74949760597</v>
      </c>
      <c r="R203" s="74">
        <v>1018.7107185040111</v>
      </c>
      <c r="S203" s="75">
        <v>8.8000000000000007</v>
      </c>
      <c r="T203" s="65">
        <v>4.8428812166422226</v>
      </c>
      <c r="U203" s="25">
        <v>1.1000000000000001</v>
      </c>
      <c r="V203" s="223" t="s">
        <v>409</v>
      </c>
      <c r="W203" s="226" t="s">
        <v>240</v>
      </c>
      <c r="X203" s="26">
        <v>37.200000000000003</v>
      </c>
      <c r="Y203" s="27">
        <v>8</v>
      </c>
      <c r="Z203" s="28">
        <v>0</v>
      </c>
      <c r="AA203" s="30">
        <v>0</v>
      </c>
      <c r="AB203" s="328" t="s">
        <v>383</v>
      </c>
      <c r="AC203" s="29"/>
    </row>
    <row r="204" spans="1:29" s="20" customFormat="1" x14ac:dyDescent="0.3">
      <c r="A204" s="42">
        <v>43667</v>
      </c>
      <c r="B204" s="43">
        <v>17.600000000000001</v>
      </c>
      <c r="C204" s="14">
        <v>26.9</v>
      </c>
      <c r="D204" s="14">
        <v>17.8</v>
      </c>
      <c r="E204" s="14">
        <v>27.3</v>
      </c>
      <c r="F204" s="14">
        <v>15.9</v>
      </c>
      <c r="G204" s="80">
        <f t="shared" si="0"/>
        <v>11.4</v>
      </c>
      <c r="H204" s="80">
        <f t="shared" si="1"/>
        <v>20.024999999999999</v>
      </c>
      <c r="I204" s="82">
        <v>20.2</v>
      </c>
      <c r="J204" s="208">
        <v>20.307860729316101</v>
      </c>
      <c r="K204" s="14">
        <v>15.423701578735599</v>
      </c>
      <c r="L204" s="82">
        <v>17.761694401904954</v>
      </c>
      <c r="M204" s="198">
        <v>99</v>
      </c>
      <c r="N204" s="33">
        <v>64</v>
      </c>
      <c r="O204" s="114">
        <v>87.732451804251099</v>
      </c>
      <c r="P204" s="122">
        <v>1021.86806359321</v>
      </c>
      <c r="Q204" s="21">
        <v>1017.4584306266599</v>
      </c>
      <c r="R204" s="74">
        <v>1019.5421945256758</v>
      </c>
      <c r="S204" s="75">
        <v>6.8</v>
      </c>
      <c r="T204" s="65">
        <v>4.0857345957512639</v>
      </c>
      <c r="U204" s="25">
        <v>1</v>
      </c>
      <c r="V204" s="223" t="s">
        <v>227</v>
      </c>
      <c r="W204" s="226" t="s">
        <v>240</v>
      </c>
      <c r="X204" s="26">
        <v>9.6</v>
      </c>
      <c r="Y204" s="27">
        <v>7.3</v>
      </c>
      <c r="Z204" s="28">
        <v>0</v>
      </c>
      <c r="AA204" s="30">
        <v>0</v>
      </c>
      <c r="AB204" s="328" t="s">
        <v>287</v>
      </c>
      <c r="AC204" s="29"/>
    </row>
    <row r="205" spans="1:29" s="20" customFormat="1" x14ac:dyDescent="0.3">
      <c r="A205" s="42">
        <v>43668</v>
      </c>
      <c r="B205" s="43">
        <v>16.3</v>
      </c>
      <c r="C205" s="14">
        <v>27.6</v>
      </c>
      <c r="D205" s="14">
        <v>18.899999999999999</v>
      </c>
      <c r="E205" s="14">
        <v>27.7</v>
      </c>
      <c r="F205" s="14">
        <v>15.5</v>
      </c>
      <c r="G205" s="80">
        <f t="shared" si="0"/>
        <v>12.2</v>
      </c>
      <c r="H205" s="80">
        <f t="shared" si="1"/>
        <v>20.425000000000001</v>
      </c>
      <c r="I205" s="82">
        <v>20.8</v>
      </c>
      <c r="J205" s="208">
        <v>18.9254654165305</v>
      </c>
      <c r="K205" s="14">
        <v>14.035640319921001</v>
      </c>
      <c r="L205" s="82">
        <v>16.040607641207068</v>
      </c>
      <c r="M205" s="198">
        <v>99</v>
      </c>
      <c r="N205" s="33">
        <v>44.125</v>
      </c>
      <c r="O205" s="114">
        <v>77.656615804216429</v>
      </c>
      <c r="P205" s="122">
        <v>1022.3919758906</v>
      </c>
      <c r="Q205" s="21">
        <v>1020.1507888085</v>
      </c>
      <c r="R205" s="74">
        <v>1021.3912595895866</v>
      </c>
      <c r="S205" s="75">
        <v>5.8</v>
      </c>
      <c r="T205" s="65">
        <v>3.9500196354028749</v>
      </c>
      <c r="U205" s="25">
        <v>1</v>
      </c>
      <c r="V205" s="223" t="s">
        <v>233</v>
      </c>
      <c r="W205" s="226" t="s">
        <v>240</v>
      </c>
      <c r="X205" s="26">
        <v>0.7</v>
      </c>
      <c r="Y205" s="27">
        <v>0.7</v>
      </c>
      <c r="Z205" s="28">
        <v>0</v>
      </c>
      <c r="AA205" s="30">
        <v>0</v>
      </c>
      <c r="AB205" s="328" t="s">
        <v>274</v>
      </c>
      <c r="AC205" s="29"/>
    </row>
    <row r="206" spans="1:29" s="20" customFormat="1" x14ac:dyDescent="0.3">
      <c r="A206" s="42">
        <v>43669</v>
      </c>
      <c r="B206" s="43">
        <v>16.399999999999999</v>
      </c>
      <c r="C206" s="14">
        <v>19.8</v>
      </c>
      <c r="D206" s="14">
        <v>17.100000000000001</v>
      </c>
      <c r="E206" s="14">
        <v>20.100000000000001</v>
      </c>
      <c r="F206" s="14">
        <v>15.3</v>
      </c>
      <c r="G206" s="80">
        <f t="shared" si="0"/>
        <v>4.8000000000000007</v>
      </c>
      <c r="H206" s="80">
        <f t="shared" si="1"/>
        <v>17.600000000000001</v>
      </c>
      <c r="I206" s="82">
        <v>17.5</v>
      </c>
      <c r="J206" s="208">
        <v>17.613964745314899</v>
      </c>
      <c r="K206" s="14">
        <v>14.3388646248145</v>
      </c>
      <c r="L206" s="82">
        <v>15.519820826093088</v>
      </c>
      <c r="M206" s="198">
        <v>99</v>
      </c>
      <c r="N206" s="33">
        <v>75.125</v>
      </c>
      <c r="O206" s="114">
        <v>87.984623015873012</v>
      </c>
      <c r="P206" s="122">
        <v>1020.63104466355</v>
      </c>
      <c r="Q206" s="21">
        <v>1018.9719756512</v>
      </c>
      <c r="R206" s="74">
        <v>1019.8680933664738</v>
      </c>
      <c r="S206" s="75">
        <v>4.8</v>
      </c>
      <c r="T206" s="65">
        <v>2.5857271392691556</v>
      </c>
      <c r="U206" s="25">
        <v>0.9</v>
      </c>
      <c r="V206" s="223" t="s">
        <v>233</v>
      </c>
      <c r="W206" s="226" t="s">
        <v>240</v>
      </c>
      <c r="X206" s="26">
        <v>0.4</v>
      </c>
      <c r="Y206" s="27">
        <v>0.1</v>
      </c>
      <c r="Z206" s="28">
        <v>0</v>
      </c>
      <c r="AA206" s="30">
        <v>0</v>
      </c>
      <c r="AB206" s="328" t="s">
        <v>248</v>
      </c>
      <c r="AC206" s="29"/>
    </row>
    <row r="207" spans="1:29" s="20" customFormat="1" x14ac:dyDescent="0.3">
      <c r="A207" s="42">
        <v>43670</v>
      </c>
      <c r="B207" s="43">
        <v>16.399999999999999</v>
      </c>
      <c r="C207" s="14">
        <v>22.3</v>
      </c>
      <c r="D207" s="14">
        <v>17.600000000000001</v>
      </c>
      <c r="E207" s="14">
        <v>24.1</v>
      </c>
      <c r="F207" s="14">
        <v>15.2</v>
      </c>
      <c r="G207" s="80">
        <f t="shared" si="0"/>
        <v>8.9000000000000021</v>
      </c>
      <c r="H207" s="80">
        <f t="shared" si="1"/>
        <v>18.475000000000001</v>
      </c>
      <c r="I207" s="82">
        <v>18.399999999999999</v>
      </c>
      <c r="J207" s="208">
        <v>18.8756099481588</v>
      </c>
      <c r="K207" s="14">
        <v>14.2396228234019</v>
      </c>
      <c r="L207" s="82">
        <v>16.52359850811219</v>
      </c>
      <c r="M207" s="198">
        <v>99</v>
      </c>
      <c r="N207" s="33">
        <v>65.5</v>
      </c>
      <c r="O207" s="114">
        <v>89.592137896825406</v>
      </c>
      <c r="P207" s="122">
        <v>1020.01980982257</v>
      </c>
      <c r="Q207" s="21">
        <v>1018.36073728037</v>
      </c>
      <c r="R207" s="74">
        <v>1019.0191914213707</v>
      </c>
      <c r="S207" s="75">
        <v>4.4000000000000004</v>
      </c>
      <c r="T207" s="65">
        <v>3.1955515992556247</v>
      </c>
      <c r="U207" s="25">
        <v>0.7</v>
      </c>
      <c r="V207" s="223" t="s">
        <v>233</v>
      </c>
      <c r="W207" s="226" t="s">
        <v>240</v>
      </c>
      <c r="X207" s="26">
        <v>3.6</v>
      </c>
      <c r="Y207" s="27">
        <v>1.3</v>
      </c>
      <c r="Z207" s="28">
        <v>0</v>
      </c>
      <c r="AA207" s="30">
        <v>0</v>
      </c>
      <c r="AB207" s="328" t="s">
        <v>262</v>
      </c>
      <c r="AC207" s="29"/>
    </row>
    <row r="208" spans="1:29" s="20" customFormat="1" x14ac:dyDescent="0.3">
      <c r="A208" s="42">
        <v>43671</v>
      </c>
      <c r="B208" s="43">
        <v>16.100000000000001</v>
      </c>
      <c r="C208" s="14">
        <v>27.8</v>
      </c>
      <c r="D208" s="14">
        <v>18.100000000000001</v>
      </c>
      <c r="E208" s="14">
        <v>28.8</v>
      </c>
      <c r="F208" s="14">
        <v>15.5</v>
      </c>
      <c r="G208" s="80">
        <f t="shared" si="0"/>
        <v>13.3</v>
      </c>
      <c r="H208" s="80">
        <f t="shared" si="1"/>
        <v>20.025000000000002</v>
      </c>
      <c r="I208" s="82">
        <v>20.9</v>
      </c>
      <c r="J208" s="208">
        <v>18.900730005511502</v>
      </c>
      <c r="K208" s="14">
        <v>12.4276260756077</v>
      </c>
      <c r="L208" s="82">
        <v>15.809041728981835</v>
      </c>
      <c r="M208" s="198">
        <v>99</v>
      </c>
      <c r="N208" s="33">
        <v>38.285714285714299</v>
      </c>
      <c r="O208" s="114">
        <v>73.64016897081413</v>
      </c>
      <c r="P208" s="122">
        <v>1020.87844887163</v>
      </c>
      <c r="Q208" s="21">
        <v>1015.63542561722</v>
      </c>
      <c r="R208" s="74">
        <v>1019.2001399975343</v>
      </c>
      <c r="S208" s="75">
        <v>3.1</v>
      </c>
      <c r="T208" s="65">
        <v>1.8000089477785277</v>
      </c>
      <c r="U208" s="25">
        <v>0.7</v>
      </c>
      <c r="V208" s="223" t="s">
        <v>226</v>
      </c>
      <c r="W208" s="226"/>
      <c r="X208" s="26">
        <v>0</v>
      </c>
      <c r="Y208" s="27">
        <v>0</v>
      </c>
      <c r="Z208" s="28">
        <v>0</v>
      </c>
      <c r="AA208" s="30">
        <v>0</v>
      </c>
      <c r="AB208" s="328" t="s">
        <v>352</v>
      </c>
      <c r="AC208" s="29"/>
    </row>
    <row r="209" spans="1:29" s="20" customFormat="1" x14ac:dyDescent="0.3">
      <c r="A209" s="42">
        <v>43672</v>
      </c>
      <c r="B209" s="43">
        <v>15.8</v>
      </c>
      <c r="C209" s="14">
        <v>19.600000000000001</v>
      </c>
      <c r="D209" s="14">
        <v>18.2</v>
      </c>
      <c r="E209" s="14">
        <v>29.1</v>
      </c>
      <c r="F209" s="14">
        <v>12.5</v>
      </c>
      <c r="G209" s="80">
        <f t="shared" si="0"/>
        <v>16.600000000000001</v>
      </c>
      <c r="H209" s="80">
        <f t="shared" si="1"/>
        <v>17.950000000000003</v>
      </c>
      <c r="I209" s="82">
        <v>19.2</v>
      </c>
      <c r="J209" s="208">
        <v>19.632791952200002</v>
      </c>
      <c r="K209" s="14">
        <v>11.6860851772988</v>
      </c>
      <c r="L209" s="82">
        <v>16.668940098857494</v>
      </c>
      <c r="M209" s="198">
        <v>99</v>
      </c>
      <c r="N209" s="33">
        <v>45.571428571428598</v>
      </c>
      <c r="O209" s="114">
        <v>79.597580143965899</v>
      </c>
      <c r="P209" s="122">
        <v>1015.37537834618</v>
      </c>
      <c r="Q209" s="21">
        <v>1009.3084357348</v>
      </c>
      <c r="R209" s="74">
        <v>1011.2459503033473</v>
      </c>
      <c r="S209" s="75">
        <v>8.8000000000000007</v>
      </c>
      <c r="T209" s="65">
        <v>5.3285979168364301</v>
      </c>
      <c r="U209" s="25">
        <v>0.9</v>
      </c>
      <c r="V209" s="223" t="s">
        <v>236</v>
      </c>
      <c r="W209" s="226" t="s">
        <v>301</v>
      </c>
      <c r="X209" s="26">
        <v>32.4</v>
      </c>
      <c r="Y209" s="27">
        <v>11.7</v>
      </c>
      <c r="Z209" s="28">
        <v>0</v>
      </c>
      <c r="AA209" s="30">
        <v>0</v>
      </c>
      <c r="AB209" s="328" t="s">
        <v>302</v>
      </c>
      <c r="AC209" s="29"/>
    </row>
    <row r="210" spans="1:29" s="20" customFormat="1" x14ac:dyDescent="0.3">
      <c r="A210" s="42">
        <v>43673</v>
      </c>
      <c r="B210" s="43">
        <v>16.7</v>
      </c>
      <c r="C210" s="14">
        <v>24</v>
      </c>
      <c r="D210" s="14">
        <v>21</v>
      </c>
      <c r="E210" s="14">
        <v>24.7</v>
      </c>
      <c r="F210" s="14">
        <v>16.100000000000001</v>
      </c>
      <c r="G210" s="80">
        <f t="shared" si="0"/>
        <v>8.5999999999999979</v>
      </c>
      <c r="H210" s="80">
        <f t="shared" ref="H210:H367" si="2">(B210+C210+2*D210)/4</f>
        <v>20.675000000000001</v>
      </c>
      <c r="I210" s="82">
        <v>20.399999999999999</v>
      </c>
      <c r="J210" s="208">
        <v>18.326493992355999</v>
      </c>
      <c r="K210" s="14">
        <v>14.5036283927365</v>
      </c>
      <c r="L210" s="82">
        <v>16.654731230457802</v>
      </c>
      <c r="M210" s="198">
        <v>99</v>
      </c>
      <c r="N210" s="33">
        <v>61.857142857142897</v>
      </c>
      <c r="O210" s="114">
        <v>80.368882847256543</v>
      </c>
      <c r="P210" s="122">
        <v>1009.27932818953</v>
      </c>
      <c r="Q210" s="21">
        <v>1005.84461734861</v>
      </c>
      <c r="R210" s="74">
        <v>1007.6436779780346</v>
      </c>
      <c r="S210" s="75">
        <v>4.0999999999999996</v>
      </c>
      <c r="T210" s="65">
        <v>3.7803759349674024</v>
      </c>
      <c r="U210" s="25">
        <v>1.3</v>
      </c>
      <c r="V210" s="223" t="s">
        <v>226</v>
      </c>
      <c r="W210" s="226" t="s">
        <v>223</v>
      </c>
      <c r="X210" s="26">
        <v>0</v>
      </c>
      <c r="Y210" s="27">
        <v>0</v>
      </c>
      <c r="Z210" s="28">
        <v>0</v>
      </c>
      <c r="AA210" s="30">
        <v>0</v>
      </c>
      <c r="AB210" s="328" t="s">
        <v>248</v>
      </c>
      <c r="AC210" s="29"/>
    </row>
    <row r="211" spans="1:29" s="20" customFormat="1" x14ac:dyDescent="0.3">
      <c r="A211" s="42">
        <v>43674</v>
      </c>
      <c r="B211" s="43">
        <v>20</v>
      </c>
      <c r="C211" s="14">
        <v>29.6</v>
      </c>
      <c r="D211" s="14">
        <v>19.100000000000001</v>
      </c>
      <c r="E211" s="14">
        <v>30.3</v>
      </c>
      <c r="F211" s="14">
        <v>15.5</v>
      </c>
      <c r="G211" s="80">
        <f t="shared" si="0"/>
        <v>14.8</v>
      </c>
      <c r="H211" s="80">
        <f t="shared" si="2"/>
        <v>21.950000000000003</v>
      </c>
      <c r="I211" s="82">
        <v>22.2</v>
      </c>
      <c r="J211" s="208">
        <v>21.7509879039672</v>
      </c>
      <c r="K211" s="14">
        <v>14.7358288501266</v>
      </c>
      <c r="L211" s="82">
        <v>17.426607514449856</v>
      </c>
      <c r="M211" s="198">
        <v>99</v>
      </c>
      <c r="N211" s="33">
        <v>44.857142857142897</v>
      </c>
      <c r="O211" s="114">
        <v>76.461309523809561</v>
      </c>
      <c r="P211" s="122">
        <v>1008.50797723423</v>
      </c>
      <c r="Q211" s="21">
        <v>1003.32677325609</v>
      </c>
      <c r="R211" s="74">
        <v>1005.7475511496957</v>
      </c>
      <c r="S211" s="75">
        <v>9.9</v>
      </c>
      <c r="T211" s="65">
        <v>5.3000263462367769</v>
      </c>
      <c r="U211" s="25">
        <v>1.6</v>
      </c>
      <c r="V211" s="223" t="s">
        <v>230</v>
      </c>
      <c r="W211" s="226" t="s">
        <v>240</v>
      </c>
      <c r="X211" s="26">
        <v>18.399999999999999</v>
      </c>
      <c r="Y211" s="27">
        <v>9</v>
      </c>
      <c r="Z211" s="28">
        <v>0</v>
      </c>
      <c r="AA211" s="30">
        <v>0</v>
      </c>
      <c r="AB211" s="328" t="s">
        <v>390</v>
      </c>
      <c r="AC211" s="29"/>
    </row>
    <row r="212" spans="1:29" s="20" customFormat="1" x14ac:dyDescent="0.3">
      <c r="A212" s="42">
        <v>43675</v>
      </c>
      <c r="B212" s="43">
        <v>18.5</v>
      </c>
      <c r="C212" s="14">
        <v>31.8</v>
      </c>
      <c r="D212" s="14">
        <v>19.899999999999999</v>
      </c>
      <c r="E212" s="14">
        <v>32.1</v>
      </c>
      <c r="F212" s="14">
        <v>17.2</v>
      </c>
      <c r="G212" s="80">
        <f t="shared" ref="G212:G367" si="3">E212-F212</f>
        <v>14.900000000000002</v>
      </c>
      <c r="H212" s="80">
        <f t="shared" si="2"/>
        <v>22.524999999999999</v>
      </c>
      <c r="I212" s="82">
        <v>22.8</v>
      </c>
      <c r="J212" s="208">
        <v>21.5027322099968</v>
      </c>
      <c r="K212" s="14">
        <v>17.055293281437901</v>
      </c>
      <c r="L212" s="82">
        <v>18.598727697813455</v>
      </c>
      <c r="M212" s="198">
        <v>99</v>
      </c>
      <c r="N212" s="33">
        <v>43.625</v>
      </c>
      <c r="O212" s="114">
        <v>79.816468253968253</v>
      </c>
      <c r="P212" s="122">
        <v>1007.72934729511</v>
      </c>
      <c r="Q212" s="21">
        <v>1003.71973305029</v>
      </c>
      <c r="R212" s="74">
        <v>1005.6329258280023</v>
      </c>
      <c r="S212" s="75">
        <v>10.9</v>
      </c>
      <c r="T212" s="65">
        <v>6.564318345271694</v>
      </c>
      <c r="U212" s="25">
        <v>0.9</v>
      </c>
      <c r="V212" s="223" t="s">
        <v>227</v>
      </c>
      <c r="W212" s="226" t="s">
        <v>223</v>
      </c>
      <c r="X212" s="26">
        <v>0</v>
      </c>
      <c r="Y212" s="27">
        <v>0</v>
      </c>
      <c r="Z212" s="28">
        <v>0</v>
      </c>
      <c r="AA212" s="30">
        <v>0</v>
      </c>
      <c r="AB212" s="328" t="s">
        <v>390</v>
      </c>
      <c r="AC212" s="29"/>
    </row>
    <row r="213" spans="1:29" s="20" customFormat="1" x14ac:dyDescent="0.3">
      <c r="A213" s="42">
        <v>43676</v>
      </c>
      <c r="B213" s="43">
        <v>18.2</v>
      </c>
      <c r="C213" s="14">
        <v>28</v>
      </c>
      <c r="D213" s="14">
        <v>21.1</v>
      </c>
      <c r="E213" s="14">
        <v>29.6</v>
      </c>
      <c r="F213" s="14">
        <v>16.3</v>
      </c>
      <c r="G213" s="80">
        <f t="shared" si="3"/>
        <v>13.3</v>
      </c>
      <c r="H213" s="80">
        <f t="shared" si="2"/>
        <v>22.1</v>
      </c>
      <c r="I213" s="82">
        <v>22.5</v>
      </c>
      <c r="J213" s="208">
        <v>20.901577555606298</v>
      </c>
      <c r="K213" s="14">
        <v>15.4964177274879</v>
      </c>
      <c r="L213" s="82">
        <v>18.507198947218477</v>
      </c>
      <c r="M213" s="198">
        <v>99</v>
      </c>
      <c r="N213" s="33">
        <v>52.285714285714299</v>
      </c>
      <c r="O213" s="114">
        <v>80.105006636801093</v>
      </c>
      <c r="P213" s="122">
        <v>1010.4145201075</v>
      </c>
      <c r="Q213" s="21">
        <v>1007.15446961256</v>
      </c>
      <c r="R213" s="74">
        <v>1008.3673841791308</v>
      </c>
      <c r="S213" s="75">
        <v>5.4</v>
      </c>
      <c r="T213" s="65">
        <v>3.1000077050219446</v>
      </c>
      <c r="U213" s="25">
        <v>0.7</v>
      </c>
      <c r="V213" s="223" t="s">
        <v>410</v>
      </c>
      <c r="W213" s="226" t="s">
        <v>223</v>
      </c>
      <c r="X213" s="26">
        <v>0</v>
      </c>
      <c r="Y213" s="27">
        <v>0</v>
      </c>
      <c r="Z213" s="28">
        <v>0</v>
      </c>
      <c r="AA213" s="30">
        <v>0</v>
      </c>
      <c r="AB213" s="328" t="s">
        <v>400</v>
      </c>
      <c r="AC213" s="29"/>
    </row>
    <row r="214" spans="1:29" s="20" customFormat="1" ht="15" thickBot="1" x14ac:dyDescent="0.35">
      <c r="A214" s="42">
        <v>43677</v>
      </c>
      <c r="B214" s="44">
        <v>20.5</v>
      </c>
      <c r="C214" s="22">
        <v>23.4</v>
      </c>
      <c r="D214" s="22">
        <v>18.5</v>
      </c>
      <c r="E214" s="22">
        <v>28</v>
      </c>
      <c r="F214" s="22">
        <v>16.8</v>
      </c>
      <c r="G214" s="22">
        <f t="shared" si="3"/>
        <v>11.2</v>
      </c>
      <c r="H214" s="22">
        <f t="shared" si="2"/>
        <v>20.225000000000001</v>
      </c>
      <c r="I214" s="83">
        <v>21.3</v>
      </c>
      <c r="J214" s="209">
        <v>21.386881967736301</v>
      </c>
      <c r="K214" s="22">
        <v>16.320318110139201</v>
      </c>
      <c r="L214" s="83">
        <v>18.643302298962215</v>
      </c>
      <c r="M214" s="199">
        <v>99</v>
      </c>
      <c r="N214" s="196">
        <v>62</v>
      </c>
      <c r="O214" s="197">
        <v>86.585547785547803</v>
      </c>
      <c r="P214" s="123">
        <v>1014.40220976981</v>
      </c>
      <c r="Q214" s="72">
        <v>1010.31264408939</v>
      </c>
      <c r="R214" s="195">
        <v>1012.4225378197049</v>
      </c>
      <c r="S214" s="77">
        <v>5.4</v>
      </c>
      <c r="T214" s="67">
        <v>4.0428721445826667</v>
      </c>
      <c r="U214" s="45">
        <v>1.1000000000000001</v>
      </c>
      <c r="V214" s="227" t="s">
        <v>229</v>
      </c>
      <c r="W214" s="228" t="s">
        <v>240</v>
      </c>
      <c r="X214" s="47">
        <v>36.700000000000003</v>
      </c>
      <c r="Y214" s="48">
        <v>12.4</v>
      </c>
      <c r="Z214" s="49">
        <v>0</v>
      </c>
      <c r="AA214" s="50">
        <v>0</v>
      </c>
      <c r="AB214" s="329" t="s">
        <v>302</v>
      </c>
      <c r="AC214" s="29"/>
    </row>
    <row r="215" spans="1:29" s="37" customFormat="1" x14ac:dyDescent="0.3">
      <c r="A215" s="42">
        <v>43678</v>
      </c>
      <c r="B215" s="79">
        <v>18.899999999999999</v>
      </c>
      <c r="C215" s="32">
        <v>24.3</v>
      </c>
      <c r="D215" s="32">
        <v>18.899999999999999</v>
      </c>
      <c r="E215" s="32">
        <v>25.9</v>
      </c>
      <c r="F215" s="32">
        <v>17</v>
      </c>
      <c r="G215" s="80">
        <f t="shared" si="3"/>
        <v>8.8999999999999986</v>
      </c>
      <c r="H215" s="80">
        <f t="shared" si="2"/>
        <v>20.25</v>
      </c>
      <c r="I215" s="87">
        <v>20.942528521825398</v>
      </c>
      <c r="J215" s="32">
        <v>19.904621238488101</v>
      </c>
      <c r="K215" s="32">
        <v>14.7681325599524</v>
      </c>
      <c r="L215" s="87">
        <v>17.604146006504742</v>
      </c>
      <c r="M215" s="119">
        <v>99</v>
      </c>
      <c r="N215" s="33">
        <v>62.714285714285701</v>
      </c>
      <c r="O215" s="114">
        <v>82.580481150793673</v>
      </c>
      <c r="P215" s="124">
        <v>1015.08622392929</v>
      </c>
      <c r="Q215" s="34">
        <v>1013.3980157715</v>
      </c>
      <c r="R215" s="74">
        <v>1014.4346200922514</v>
      </c>
      <c r="S215" s="116">
        <v>5.8</v>
      </c>
      <c r="T215" s="115">
        <v>3.892876494203569</v>
      </c>
      <c r="U215" s="35">
        <v>1.0783535747418247</v>
      </c>
      <c r="V215" s="221" t="s">
        <v>227</v>
      </c>
      <c r="W215" s="229" t="s">
        <v>350</v>
      </c>
      <c r="X215" s="109">
        <v>1.2</v>
      </c>
      <c r="Y215" s="110">
        <v>0.2</v>
      </c>
      <c r="Z215" s="111">
        <v>0</v>
      </c>
      <c r="AA215" s="117">
        <v>0</v>
      </c>
      <c r="AB215" s="326" t="s">
        <v>405</v>
      </c>
      <c r="AC215" s="36"/>
    </row>
    <row r="216" spans="1:29" s="20" customFormat="1" x14ac:dyDescent="0.3">
      <c r="A216" s="42">
        <v>43679</v>
      </c>
      <c r="B216" s="43">
        <v>16</v>
      </c>
      <c r="C216" s="14">
        <v>25.6</v>
      </c>
      <c r="D216" s="14">
        <v>17.899999999999999</v>
      </c>
      <c r="E216" s="14">
        <v>26.6</v>
      </c>
      <c r="F216" s="14">
        <v>15.3</v>
      </c>
      <c r="G216" s="80">
        <f t="shared" si="3"/>
        <v>11.3</v>
      </c>
      <c r="H216" s="80">
        <f t="shared" si="2"/>
        <v>19.350000000000001</v>
      </c>
      <c r="I216" s="82">
        <v>20.169432043650787</v>
      </c>
      <c r="J216" s="32">
        <v>17.7993025930237</v>
      </c>
      <c r="K216" s="32">
        <v>13.807884269006401</v>
      </c>
      <c r="L216" s="87">
        <v>15.860094525689687</v>
      </c>
      <c r="M216" s="119">
        <v>99</v>
      </c>
      <c r="N216" s="33">
        <v>47.285714285714299</v>
      </c>
      <c r="O216" s="114">
        <v>78.826326884920618</v>
      </c>
      <c r="P216" s="122">
        <v>1014.85336823335</v>
      </c>
      <c r="Q216" s="21">
        <v>1010.68376365558</v>
      </c>
      <c r="R216" s="74">
        <v>1012.8453620828963</v>
      </c>
      <c r="S216" s="75">
        <v>5.4000268433355831</v>
      </c>
      <c r="T216" s="65">
        <v>2.7616208707733096</v>
      </c>
      <c r="U216" s="25">
        <v>0.80649582453738455</v>
      </c>
      <c r="V216" s="223" t="s">
        <v>229</v>
      </c>
      <c r="W216" s="224" t="s">
        <v>240</v>
      </c>
      <c r="X216" s="16">
        <v>11.9</v>
      </c>
      <c r="Y216" s="17">
        <v>2</v>
      </c>
      <c r="Z216" s="18">
        <v>0</v>
      </c>
      <c r="AA216" s="46">
        <v>0</v>
      </c>
      <c r="AB216" s="327" t="s">
        <v>288</v>
      </c>
      <c r="AC216" s="29"/>
    </row>
    <row r="217" spans="1:29" s="20" customFormat="1" x14ac:dyDescent="0.3">
      <c r="A217" s="42">
        <v>43680</v>
      </c>
      <c r="B217" s="43">
        <v>17.5</v>
      </c>
      <c r="C217" s="14">
        <v>21.8</v>
      </c>
      <c r="D217" s="14">
        <v>16.399999999999999</v>
      </c>
      <c r="E217" s="14">
        <v>24.6</v>
      </c>
      <c r="F217" s="14">
        <v>13.6</v>
      </c>
      <c r="G217" s="80">
        <f t="shared" si="3"/>
        <v>11.000000000000002</v>
      </c>
      <c r="H217" s="80">
        <f t="shared" si="2"/>
        <v>18.024999999999999</v>
      </c>
      <c r="I217" s="82">
        <v>18.571999007936508</v>
      </c>
      <c r="J217" s="32">
        <v>17.2341803839828</v>
      </c>
      <c r="K217" s="32">
        <v>10.866390257313499</v>
      </c>
      <c r="L217" s="87">
        <v>13.84370601627967</v>
      </c>
      <c r="M217" s="119">
        <v>99</v>
      </c>
      <c r="N217" s="33">
        <v>51.428571428571402</v>
      </c>
      <c r="O217" s="114">
        <v>75.722346230158735</v>
      </c>
      <c r="P217" s="122">
        <v>1012.17551399878</v>
      </c>
      <c r="Q217" s="21">
        <v>1009.20655931592</v>
      </c>
      <c r="R217" s="74">
        <v>1010.3090613936355</v>
      </c>
      <c r="S217" s="75">
        <v>6.8000338027188887</v>
      </c>
      <c r="T217" s="65">
        <v>4.5857370812452913</v>
      </c>
      <c r="U217" s="25">
        <v>1.3456416097700605</v>
      </c>
      <c r="V217" s="223" t="s">
        <v>227</v>
      </c>
      <c r="W217" s="224" t="s">
        <v>223</v>
      </c>
      <c r="X217" s="16">
        <v>0</v>
      </c>
      <c r="Y217" s="17">
        <v>0</v>
      </c>
      <c r="Z217" s="18">
        <v>0</v>
      </c>
      <c r="AA217" s="46">
        <v>0</v>
      </c>
      <c r="AB217" s="327" t="s">
        <v>266</v>
      </c>
      <c r="AC217" s="29"/>
    </row>
    <row r="218" spans="1:29" s="20" customFormat="1" x14ac:dyDescent="0.3">
      <c r="A218" s="42">
        <v>43681</v>
      </c>
      <c r="B218" s="43">
        <v>16.3</v>
      </c>
      <c r="C218" s="14">
        <v>24.1</v>
      </c>
      <c r="D218" s="14">
        <v>15.4</v>
      </c>
      <c r="E218" s="14">
        <v>25.9</v>
      </c>
      <c r="F218" s="14">
        <v>11.5</v>
      </c>
      <c r="G218" s="80">
        <f t="shared" si="3"/>
        <v>14.399999999999999</v>
      </c>
      <c r="H218" s="80">
        <f t="shared" si="2"/>
        <v>17.8</v>
      </c>
      <c r="I218" s="82">
        <v>17.957812499999996</v>
      </c>
      <c r="J218" s="32">
        <v>14.3201274322602</v>
      </c>
      <c r="K218" s="32">
        <v>9.4774905573754396</v>
      </c>
      <c r="L218" s="87">
        <v>11.704398662808684</v>
      </c>
      <c r="M218" s="119">
        <v>96</v>
      </c>
      <c r="N218" s="33">
        <v>41.571428571428598</v>
      </c>
      <c r="O218" s="114">
        <v>69.643477182539684</v>
      </c>
      <c r="P218" s="122">
        <v>1015.7011076282701</v>
      </c>
      <c r="Q218" s="21">
        <v>1012.20462123732</v>
      </c>
      <c r="R218" s="74">
        <v>1013.8852424294093</v>
      </c>
      <c r="S218" s="76">
        <v>9.5000472243866678</v>
      </c>
      <c r="T218" s="66">
        <v>4.1571635222504169</v>
      </c>
      <c r="U218" s="19">
        <v>1.3649435410367137</v>
      </c>
      <c r="V218" s="223" t="s">
        <v>227</v>
      </c>
      <c r="W218" s="225" t="s">
        <v>223</v>
      </c>
      <c r="X218" s="16">
        <v>0</v>
      </c>
      <c r="Y218" s="17">
        <v>0</v>
      </c>
      <c r="Z218" s="18">
        <v>0</v>
      </c>
      <c r="AA218" s="46">
        <v>0</v>
      </c>
      <c r="AB218" s="327" t="s">
        <v>304</v>
      </c>
      <c r="AC218" s="29"/>
    </row>
    <row r="219" spans="1:29" s="20" customFormat="1" x14ac:dyDescent="0.3">
      <c r="A219" s="42">
        <v>43682</v>
      </c>
      <c r="B219" s="43">
        <v>12.5</v>
      </c>
      <c r="C219" s="14">
        <v>25.3</v>
      </c>
      <c r="D219" s="14">
        <v>16.399999999999999</v>
      </c>
      <c r="E219" s="14">
        <v>25.4</v>
      </c>
      <c r="F219" s="14">
        <v>10.6</v>
      </c>
      <c r="G219" s="68">
        <f t="shared" si="3"/>
        <v>14.799999999999999</v>
      </c>
      <c r="H219" s="68">
        <f t="shared" si="2"/>
        <v>17.649999999999999</v>
      </c>
      <c r="I219" s="82">
        <v>17.427746775793665</v>
      </c>
      <c r="J219" s="32">
        <v>19.847302796923699</v>
      </c>
      <c r="K219" s="32">
        <v>9.4530006394270192</v>
      </c>
      <c r="L219" s="87">
        <v>13.356898157503267</v>
      </c>
      <c r="M219" s="119">
        <v>99</v>
      </c>
      <c r="N219" s="33">
        <v>46.125</v>
      </c>
      <c r="O219" s="114">
        <v>79.300967261904773</v>
      </c>
      <c r="P219" s="122">
        <v>1015.9594311408</v>
      </c>
      <c r="Q219" s="21">
        <v>1012.2482821133</v>
      </c>
      <c r="R219" s="74">
        <v>1014.235283873027</v>
      </c>
      <c r="S219" s="75">
        <v>5.1000253520391672</v>
      </c>
      <c r="T219" s="65">
        <v>3.0428722688637082</v>
      </c>
      <c r="U219" s="25">
        <v>0.89390321511125548</v>
      </c>
      <c r="V219" s="223" t="s">
        <v>255</v>
      </c>
      <c r="W219" s="225" t="s">
        <v>240</v>
      </c>
      <c r="X219" s="16">
        <v>13.2</v>
      </c>
      <c r="Y219" s="17">
        <v>5.6</v>
      </c>
      <c r="Z219" s="18">
        <v>0</v>
      </c>
      <c r="AA219" s="46">
        <v>0</v>
      </c>
      <c r="AB219" s="327" t="s">
        <v>417</v>
      </c>
      <c r="AC219" s="29"/>
    </row>
    <row r="220" spans="1:29" s="20" customFormat="1" x14ac:dyDescent="0.3">
      <c r="A220" s="42">
        <v>43683</v>
      </c>
      <c r="B220" s="43">
        <v>14.7</v>
      </c>
      <c r="C220" s="14">
        <v>24.4</v>
      </c>
      <c r="D220" s="14">
        <v>18.5</v>
      </c>
      <c r="E220" s="14">
        <v>25.1</v>
      </c>
      <c r="F220" s="14">
        <v>12.3</v>
      </c>
      <c r="G220" s="68">
        <f t="shared" si="3"/>
        <v>12.8</v>
      </c>
      <c r="H220" s="68">
        <f t="shared" si="2"/>
        <v>19.024999999999999</v>
      </c>
      <c r="I220" s="82">
        <v>18.902957589285691</v>
      </c>
      <c r="J220" s="32">
        <v>18.149032383623201</v>
      </c>
      <c r="K220" s="32">
        <v>11.3614809311077</v>
      </c>
      <c r="L220" s="87">
        <v>15.810274497944379</v>
      </c>
      <c r="M220" s="119">
        <v>99</v>
      </c>
      <c r="N220" s="33">
        <v>63.285714285714299</v>
      </c>
      <c r="O220" s="114">
        <v>83.497271825396822</v>
      </c>
      <c r="P220" s="122">
        <v>1015.3336329106399</v>
      </c>
      <c r="Q220" s="21">
        <v>1012.14640675505</v>
      </c>
      <c r="R220" s="74">
        <v>1013.8716110409654</v>
      </c>
      <c r="S220" s="75">
        <v>8.5000422533986111</v>
      </c>
      <c r="T220" s="65">
        <v>4.5643084032955556</v>
      </c>
      <c r="U220" s="25">
        <v>1.5998157403238416</v>
      </c>
      <c r="V220" s="223" t="s">
        <v>230</v>
      </c>
      <c r="W220" s="225" t="s">
        <v>301</v>
      </c>
      <c r="X220" s="16">
        <v>7.2</v>
      </c>
      <c r="Y220" s="17">
        <v>1.3</v>
      </c>
      <c r="Z220" s="18">
        <v>0</v>
      </c>
      <c r="AA220" s="46">
        <v>0</v>
      </c>
      <c r="AB220" s="327" t="s">
        <v>302</v>
      </c>
      <c r="AC220" s="29"/>
    </row>
    <row r="221" spans="1:29" s="20" customFormat="1" x14ac:dyDescent="0.3">
      <c r="A221" s="42">
        <v>43684</v>
      </c>
      <c r="B221" s="43">
        <v>18.5</v>
      </c>
      <c r="C221" s="14">
        <v>26.2</v>
      </c>
      <c r="D221" s="14">
        <v>19.3</v>
      </c>
      <c r="E221" s="14">
        <v>27.5</v>
      </c>
      <c r="F221" s="14">
        <v>15.9</v>
      </c>
      <c r="G221" s="68">
        <f t="shared" si="3"/>
        <v>11.6</v>
      </c>
      <c r="H221" s="68">
        <f t="shared" si="2"/>
        <v>20.825000000000003</v>
      </c>
      <c r="I221" s="82">
        <v>21.157252052545143</v>
      </c>
      <c r="J221" s="32">
        <v>20.244908625414801</v>
      </c>
      <c r="K221" s="32">
        <v>15.4964177274879</v>
      </c>
      <c r="L221" s="87">
        <v>17.906671226169866</v>
      </c>
      <c r="M221" s="119">
        <v>99</v>
      </c>
      <c r="N221" s="33">
        <v>61</v>
      </c>
      <c r="O221" s="114">
        <v>83.26273809523812</v>
      </c>
      <c r="P221" s="122">
        <v>1013.13605155299</v>
      </c>
      <c r="Q221" s="21">
        <v>1008.36243909621</v>
      </c>
      <c r="R221" s="74">
        <v>1011.0074607189761</v>
      </c>
      <c r="S221" s="75">
        <v>11.200055675066388</v>
      </c>
      <c r="T221" s="65">
        <v>7.1143210793151379</v>
      </c>
      <c r="U221" s="25">
        <v>1.7444567340837143</v>
      </c>
      <c r="V221" s="223" t="s">
        <v>230</v>
      </c>
      <c r="W221" s="225" t="s">
        <v>240</v>
      </c>
      <c r="X221" s="16">
        <v>22.8</v>
      </c>
      <c r="Y221" s="17">
        <v>7.7</v>
      </c>
      <c r="Z221" s="18">
        <v>0</v>
      </c>
      <c r="AA221" s="46">
        <v>0</v>
      </c>
      <c r="AB221" s="327" t="s">
        <v>420</v>
      </c>
      <c r="AC221" s="29"/>
    </row>
    <row r="222" spans="1:29" s="20" customFormat="1" x14ac:dyDescent="0.3">
      <c r="A222" s="42">
        <v>43685</v>
      </c>
      <c r="B222" s="43">
        <v>18.7</v>
      </c>
      <c r="C222" s="14">
        <v>26.6</v>
      </c>
      <c r="D222" s="14">
        <v>18.100000000000001</v>
      </c>
      <c r="E222" s="14">
        <v>27.6</v>
      </c>
      <c r="F222" s="14">
        <v>16.399999999999999</v>
      </c>
      <c r="G222" s="68">
        <f t="shared" si="3"/>
        <v>11.200000000000003</v>
      </c>
      <c r="H222" s="68">
        <f t="shared" si="2"/>
        <v>20.375</v>
      </c>
      <c r="I222" s="82">
        <v>21.180071924603148</v>
      </c>
      <c r="J222" s="32">
        <v>20.127962323510701</v>
      </c>
      <c r="K222" s="32">
        <v>14.2683348286136</v>
      </c>
      <c r="L222" s="87">
        <v>16.799142310972339</v>
      </c>
      <c r="M222" s="119">
        <v>99</v>
      </c>
      <c r="N222" s="33">
        <v>46.571428571428598</v>
      </c>
      <c r="O222" s="114">
        <v>78.667348710317512</v>
      </c>
      <c r="P222" s="122">
        <v>1014.88611357036</v>
      </c>
      <c r="Q222" s="21">
        <v>1007.60563954153</v>
      </c>
      <c r="R222" s="74">
        <v>1011.9695008373066</v>
      </c>
      <c r="S222" s="75">
        <v>5.8000288317308062</v>
      </c>
      <c r="T222" s="65">
        <v>2.9714433423645525</v>
      </c>
      <c r="U222" s="25">
        <v>1.0728909979843806</v>
      </c>
      <c r="V222" s="223" t="s">
        <v>227</v>
      </c>
      <c r="W222" s="225" t="s">
        <v>223</v>
      </c>
      <c r="X222" s="16">
        <v>0</v>
      </c>
      <c r="Y222" s="17">
        <v>0</v>
      </c>
      <c r="Z222" s="18">
        <v>0</v>
      </c>
      <c r="AA222" s="46">
        <v>0</v>
      </c>
      <c r="AB222" s="327" t="s">
        <v>251</v>
      </c>
      <c r="AC222" s="29"/>
    </row>
    <row r="223" spans="1:29" s="20" customFormat="1" x14ac:dyDescent="0.3">
      <c r="A223" s="42">
        <v>43686</v>
      </c>
      <c r="B223" s="43">
        <v>17.2</v>
      </c>
      <c r="C223" s="14">
        <v>26</v>
      </c>
      <c r="D223" s="14">
        <v>17.600000000000001</v>
      </c>
      <c r="E223" s="14">
        <v>28.5</v>
      </c>
      <c r="F223" s="14">
        <v>14.5</v>
      </c>
      <c r="G223" s="68">
        <f t="shared" si="3"/>
        <v>14</v>
      </c>
      <c r="H223" s="68">
        <f t="shared" si="2"/>
        <v>19.600000000000001</v>
      </c>
      <c r="I223" s="82">
        <v>20.457932374338636</v>
      </c>
      <c r="J223" s="32">
        <v>18.453467448748899</v>
      </c>
      <c r="K223" s="32">
        <v>13.244852569259301</v>
      </c>
      <c r="L223" s="87">
        <v>15.237905020856212</v>
      </c>
      <c r="M223" s="119">
        <v>99</v>
      </c>
      <c r="N223" s="33">
        <v>41.625</v>
      </c>
      <c r="O223" s="114">
        <v>74.899987599206341</v>
      </c>
      <c r="P223" s="122">
        <v>1015.8284502374</v>
      </c>
      <c r="Q223" s="21">
        <v>1013.39801578186</v>
      </c>
      <c r="R223" s="74">
        <v>1014.7026675897266</v>
      </c>
      <c r="S223" s="75">
        <v>4.8000238607427494</v>
      </c>
      <c r="T223" s="65">
        <v>3.4428742572589304</v>
      </c>
      <c r="U223" s="25">
        <v>0.79429131611789749</v>
      </c>
      <c r="V223" s="223" t="s">
        <v>232</v>
      </c>
      <c r="W223" s="225"/>
      <c r="X223" s="16">
        <v>0</v>
      </c>
      <c r="Y223" s="17">
        <v>0</v>
      </c>
      <c r="Z223" s="18">
        <v>0</v>
      </c>
      <c r="AA223" s="46">
        <v>0</v>
      </c>
      <c r="AB223" s="327" t="s">
        <v>247</v>
      </c>
      <c r="AC223" s="29"/>
    </row>
    <row r="224" spans="1:29" s="20" customFormat="1" x14ac:dyDescent="0.3">
      <c r="A224" s="42">
        <v>43687</v>
      </c>
      <c r="B224" s="43">
        <v>15.9</v>
      </c>
      <c r="C224" s="14">
        <v>29.7</v>
      </c>
      <c r="D224" s="14">
        <v>21</v>
      </c>
      <c r="E224" s="14">
        <v>30.3</v>
      </c>
      <c r="F224" s="14">
        <v>12.6</v>
      </c>
      <c r="G224" s="68">
        <f t="shared" si="3"/>
        <v>17.700000000000003</v>
      </c>
      <c r="H224" s="68">
        <f t="shared" si="2"/>
        <v>21.9</v>
      </c>
      <c r="I224" s="82">
        <v>21.759722222222216</v>
      </c>
      <c r="J224" s="32">
        <v>21.099295962172299</v>
      </c>
      <c r="K224" s="32">
        <v>11.432890511214101</v>
      </c>
      <c r="L224" s="87">
        <v>17.456879843356511</v>
      </c>
      <c r="M224" s="119">
        <v>99</v>
      </c>
      <c r="N224" s="33">
        <v>50.857142857142897</v>
      </c>
      <c r="O224" s="114">
        <v>79.206163194444443</v>
      </c>
      <c r="P224" s="122">
        <v>1016.77442214583</v>
      </c>
      <c r="Q224" s="21">
        <v>1014.3385381322501</v>
      </c>
      <c r="R224" s="74">
        <v>1015.7592700496266</v>
      </c>
      <c r="S224" s="75">
        <v>7.5000372824105277</v>
      </c>
      <c r="T224" s="65">
        <v>4.6393087761196528</v>
      </c>
      <c r="U224" s="25">
        <v>1.4531384238946876</v>
      </c>
      <c r="V224" s="223" t="s">
        <v>230</v>
      </c>
      <c r="W224" s="225" t="s">
        <v>240</v>
      </c>
      <c r="X224" s="16">
        <v>36</v>
      </c>
      <c r="Y224" s="17">
        <v>35</v>
      </c>
      <c r="Z224" s="18">
        <v>0</v>
      </c>
      <c r="AA224" s="46">
        <v>0</v>
      </c>
      <c r="AB224" s="327" t="s">
        <v>426</v>
      </c>
      <c r="AC224" s="29"/>
    </row>
    <row r="225" spans="1:29" s="20" customFormat="1" x14ac:dyDescent="0.3">
      <c r="A225" s="42">
        <v>43688</v>
      </c>
      <c r="B225" s="43">
        <v>20.6</v>
      </c>
      <c r="C225" s="14">
        <v>27.1</v>
      </c>
      <c r="D225" s="14">
        <v>18.3</v>
      </c>
      <c r="E225" s="14">
        <v>27.7</v>
      </c>
      <c r="F225" s="14">
        <v>16.600000000000001</v>
      </c>
      <c r="G225" s="68">
        <f t="shared" si="3"/>
        <v>11.099999999999998</v>
      </c>
      <c r="H225" s="68">
        <f t="shared" si="2"/>
        <v>21.075000000000003</v>
      </c>
      <c r="I225" s="82">
        <v>21.943979650683808</v>
      </c>
      <c r="J225" s="32">
        <v>20.736378178840599</v>
      </c>
      <c r="K225" s="32">
        <v>15.0989427113436</v>
      </c>
      <c r="L225" s="87">
        <v>17.878426348027581</v>
      </c>
      <c r="M225" s="119">
        <v>99</v>
      </c>
      <c r="N225" s="33">
        <v>51</v>
      </c>
      <c r="O225" s="114">
        <v>79.711278629098729</v>
      </c>
      <c r="P225" s="122">
        <v>1019.80151135328</v>
      </c>
      <c r="Q225" s="21">
        <v>1016.03219827147</v>
      </c>
      <c r="R225" s="74">
        <v>1018.2610488654373</v>
      </c>
      <c r="S225" s="75">
        <v>5.1000253520391672</v>
      </c>
      <c r="T225" s="65">
        <v>3.7500093205910554</v>
      </c>
      <c r="U225" s="25">
        <v>1.0717461793757841</v>
      </c>
      <c r="V225" s="223" t="s">
        <v>227</v>
      </c>
      <c r="W225" s="225"/>
      <c r="X225" s="16">
        <v>0</v>
      </c>
      <c r="Y225" s="17">
        <v>0</v>
      </c>
      <c r="Z225" s="18">
        <v>0</v>
      </c>
      <c r="AA225" s="46">
        <v>0</v>
      </c>
      <c r="AB225" s="327" t="s">
        <v>427</v>
      </c>
      <c r="AC225" s="29"/>
    </row>
    <row r="226" spans="1:29" s="20" customFormat="1" x14ac:dyDescent="0.3">
      <c r="A226" s="42">
        <v>43689</v>
      </c>
      <c r="B226" s="43">
        <v>17.8</v>
      </c>
      <c r="C226" s="14">
        <v>30.8</v>
      </c>
      <c r="D226" s="14">
        <v>22.6</v>
      </c>
      <c r="E226" s="14">
        <v>31.9</v>
      </c>
      <c r="F226" s="14">
        <v>15</v>
      </c>
      <c r="G226" s="68">
        <f t="shared" si="3"/>
        <v>16.899999999999999</v>
      </c>
      <c r="H226" s="68">
        <f t="shared" si="2"/>
        <v>23.450000000000003</v>
      </c>
      <c r="I226" s="82">
        <v>23.567925347222236</v>
      </c>
      <c r="J226" s="32">
        <v>21.640133243115699</v>
      </c>
      <c r="K226" s="32">
        <v>14.3665779053836</v>
      </c>
      <c r="L226" s="87">
        <v>18.841212118972663</v>
      </c>
      <c r="M226" s="119">
        <v>99</v>
      </c>
      <c r="N226" s="33">
        <v>50.875</v>
      </c>
      <c r="O226" s="114">
        <v>77.439236111111143</v>
      </c>
      <c r="P226" s="122">
        <v>1016.93450938816</v>
      </c>
      <c r="Q226" s="21">
        <v>1011.72435131603</v>
      </c>
      <c r="R226" s="74">
        <v>1014.5920256128962</v>
      </c>
      <c r="S226" s="75">
        <v>7.5000372824105277</v>
      </c>
      <c r="T226" s="65">
        <v>4.7643093974931663</v>
      </c>
      <c r="U226" s="25">
        <v>1.272317419219994</v>
      </c>
      <c r="V226" s="223" t="s">
        <v>230</v>
      </c>
      <c r="W226" s="225"/>
      <c r="X226" s="16">
        <v>0</v>
      </c>
      <c r="Y226" s="17">
        <v>0</v>
      </c>
      <c r="Z226" s="18">
        <v>0</v>
      </c>
      <c r="AA226" s="46">
        <v>0</v>
      </c>
      <c r="AB226" s="327" t="s">
        <v>257</v>
      </c>
      <c r="AC226" s="29"/>
    </row>
    <row r="227" spans="1:29" s="20" customFormat="1" x14ac:dyDescent="0.3">
      <c r="A227" s="42">
        <v>43690</v>
      </c>
      <c r="B227" s="43">
        <v>20.399999999999999</v>
      </c>
      <c r="C227" s="14">
        <v>21.4</v>
      </c>
      <c r="D227" s="14">
        <v>17.399999999999999</v>
      </c>
      <c r="E227" s="14">
        <v>23.3</v>
      </c>
      <c r="F227" s="14">
        <v>17.2</v>
      </c>
      <c r="G227" s="68">
        <f t="shared" si="3"/>
        <v>6.1000000000000014</v>
      </c>
      <c r="H227" s="68">
        <f t="shared" si="2"/>
        <v>19.149999999999999</v>
      </c>
      <c r="I227" s="82">
        <v>19.411445932539699</v>
      </c>
      <c r="J227" s="32">
        <v>20.428623477031</v>
      </c>
      <c r="K227" s="32">
        <v>16.177729450374201</v>
      </c>
      <c r="L227" s="87">
        <v>17.744436972398969</v>
      </c>
      <c r="M227" s="119">
        <v>99</v>
      </c>
      <c r="N227" s="33">
        <v>71</v>
      </c>
      <c r="O227" s="114">
        <v>90.65749007936509</v>
      </c>
      <c r="P227" s="122">
        <v>1018.04056426559</v>
      </c>
      <c r="Q227" s="21">
        <v>1011.40417090291</v>
      </c>
      <c r="R227" s="74">
        <v>1014.9268328485113</v>
      </c>
      <c r="S227" s="75">
        <v>5.8000288317308062</v>
      </c>
      <c r="T227" s="65">
        <v>4.3000213752486935</v>
      </c>
      <c r="U227" s="25">
        <v>1.6207049810682532</v>
      </c>
      <c r="V227" s="223" t="s">
        <v>227</v>
      </c>
      <c r="W227" s="226" t="s">
        <v>240</v>
      </c>
      <c r="X227" s="26">
        <v>42.7</v>
      </c>
      <c r="Y227" s="27">
        <v>70.7</v>
      </c>
      <c r="Z227" s="28">
        <v>0</v>
      </c>
      <c r="AA227" s="30">
        <v>0</v>
      </c>
      <c r="AB227" s="328" t="s">
        <v>287</v>
      </c>
      <c r="AC227" s="29"/>
    </row>
    <row r="228" spans="1:29" s="20" customFormat="1" x14ac:dyDescent="0.3">
      <c r="A228" s="42">
        <v>43691</v>
      </c>
      <c r="B228" s="43">
        <v>16.8</v>
      </c>
      <c r="C228" s="14">
        <v>14.7</v>
      </c>
      <c r="D228" s="14">
        <v>13</v>
      </c>
      <c r="E228" s="14">
        <v>17.2</v>
      </c>
      <c r="F228" s="14">
        <v>11.4</v>
      </c>
      <c r="G228" s="68">
        <f t="shared" si="3"/>
        <v>5.7999999999999989</v>
      </c>
      <c r="H228" s="68">
        <f t="shared" si="2"/>
        <v>14.375</v>
      </c>
      <c r="I228" s="82">
        <v>14.737562003968256</v>
      </c>
      <c r="J228" s="32">
        <v>16.941150055910999</v>
      </c>
      <c r="K228" s="32">
        <v>8.5195684232336895</v>
      </c>
      <c r="L228" s="87">
        <v>14.28277337027861</v>
      </c>
      <c r="M228" s="119">
        <v>99</v>
      </c>
      <c r="N228" s="33">
        <v>92</v>
      </c>
      <c r="O228" s="114">
        <v>97.100198412698418</v>
      </c>
      <c r="P228" s="122">
        <v>1018.1278842330599</v>
      </c>
      <c r="Q228" s="21">
        <v>1011.23134610515</v>
      </c>
      <c r="R228" s="74">
        <v>1014.9763303588198</v>
      </c>
      <c r="S228" s="75">
        <v>7.1000352940153055</v>
      </c>
      <c r="T228" s="65">
        <v>3.5571605396575556</v>
      </c>
      <c r="U228" s="25">
        <v>1.216461900162138</v>
      </c>
      <c r="V228" s="223" t="s">
        <v>234</v>
      </c>
      <c r="W228" s="226" t="s">
        <v>240</v>
      </c>
      <c r="X228" s="26">
        <v>11</v>
      </c>
      <c r="Y228" s="27">
        <v>16.600000000000001</v>
      </c>
      <c r="Z228" s="28">
        <v>0</v>
      </c>
      <c r="AA228" s="30">
        <v>0</v>
      </c>
      <c r="AB228" s="328" t="s">
        <v>428</v>
      </c>
      <c r="AC228" s="29"/>
    </row>
    <row r="229" spans="1:29" s="20" customFormat="1" x14ac:dyDescent="0.3">
      <c r="A229" s="42">
        <v>43692</v>
      </c>
      <c r="B229" s="43">
        <v>10.1</v>
      </c>
      <c r="C229" s="14">
        <v>22.6</v>
      </c>
      <c r="D229" s="14">
        <v>11.9</v>
      </c>
      <c r="E229" s="14">
        <v>23</v>
      </c>
      <c r="F229" s="14">
        <v>8.6999999999999993</v>
      </c>
      <c r="G229" s="68">
        <f t="shared" si="3"/>
        <v>14.3</v>
      </c>
      <c r="H229" s="68">
        <f t="shared" si="2"/>
        <v>14.125</v>
      </c>
      <c r="I229" s="82">
        <v>15.039180307539697</v>
      </c>
      <c r="J229" s="32">
        <v>14.689217663980999</v>
      </c>
      <c r="K229" s="32">
        <v>7.2502871125706001</v>
      </c>
      <c r="L229" s="87">
        <v>10.221099027881362</v>
      </c>
      <c r="M229" s="119">
        <v>99</v>
      </c>
      <c r="N229" s="33">
        <v>44.714285714285701</v>
      </c>
      <c r="O229" s="114">
        <v>76.014632936507908</v>
      </c>
      <c r="P229" s="122">
        <v>1018.22975747089</v>
      </c>
      <c r="Q229" s="21">
        <v>1015.08622393963</v>
      </c>
      <c r="R229" s="74">
        <v>1016.7586669881463</v>
      </c>
      <c r="S229" s="75">
        <v>6.5000323114224727</v>
      </c>
      <c r="T229" s="65">
        <v>4.3857360870476807</v>
      </c>
      <c r="U229" s="25">
        <v>1.3319448038223334</v>
      </c>
      <c r="V229" s="223" t="s">
        <v>229</v>
      </c>
      <c r="W229" s="226"/>
      <c r="X229" s="26">
        <v>0</v>
      </c>
      <c r="Y229" s="27">
        <v>0</v>
      </c>
      <c r="Z229" s="28">
        <v>0</v>
      </c>
      <c r="AA229" s="30">
        <v>0</v>
      </c>
      <c r="AB229" s="328" t="s">
        <v>247</v>
      </c>
      <c r="AC229" s="29"/>
    </row>
    <row r="230" spans="1:29" s="20" customFormat="1" x14ac:dyDescent="0.3">
      <c r="A230" s="42">
        <v>43693</v>
      </c>
      <c r="B230" s="43">
        <v>10.5</v>
      </c>
      <c r="C230" s="14">
        <v>24.3</v>
      </c>
      <c r="D230" s="14">
        <v>14.8</v>
      </c>
      <c r="E230" s="14">
        <v>24.8</v>
      </c>
      <c r="F230" s="14">
        <v>7.7</v>
      </c>
      <c r="G230" s="68">
        <f t="shared" si="3"/>
        <v>17.100000000000001</v>
      </c>
      <c r="H230" s="68">
        <f t="shared" si="2"/>
        <v>16.100000000000001</v>
      </c>
      <c r="I230" s="82">
        <v>16.165742807539676</v>
      </c>
      <c r="J230" s="32">
        <v>16.261666333103001</v>
      </c>
      <c r="K230" s="32">
        <v>6.1640442697994899</v>
      </c>
      <c r="L230" s="87">
        <v>11.499178819329877</v>
      </c>
      <c r="M230" s="119">
        <v>99</v>
      </c>
      <c r="N230" s="33">
        <v>41</v>
      </c>
      <c r="O230" s="114">
        <v>76.984995039682531</v>
      </c>
      <c r="P230" s="122">
        <v>1017.32745042537</v>
      </c>
      <c r="Q230" s="21">
        <v>1014.9843495917401</v>
      </c>
      <c r="R230" s="74">
        <v>1016.2439232231404</v>
      </c>
      <c r="S230" s="75">
        <v>4.1000203810510829</v>
      </c>
      <c r="T230" s="65">
        <v>2.7428707775672803</v>
      </c>
      <c r="U230" s="25">
        <v>0.78726829840250201</v>
      </c>
      <c r="V230" s="223" t="s">
        <v>229</v>
      </c>
      <c r="W230" s="226"/>
      <c r="X230" s="26">
        <v>0</v>
      </c>
      <c r="Y230" s="27">
        <v>0</v>
      </c>
      <c r="Z230" s="28">
        <v>0</v>
      </c>
      <c r="AA230" s="30">
        <v>0</v>
      </c>
      <c r="AB230" s="328" t="s">
        <v>247</v>
      </c>
      <c r="AC230" s="29"/>
    </row>
    <row r="231" spans="1:29" s="20" customFormat="1" x14ac:dyDescent="0.3">
      <c r="A231" s="42">
        <v>43694</v>
      </c>
      <c r="B231" s="43">
        <v>15.2</v>
      </c>
      <c r="C231" s="14">
        <v>24.3</v>
      </c>
      <c r="D231" s="14">
        <v>17.2</v>
      </c>
      <c r="E231" s="14">
        <v>24.7</v>
      </c>
      <c r="F231" s="14">
        <v>13.8</v>
      </c>
      <c r="G231" s="68">
        <f t="shared" si="3"/>
        <v>10.899999999999999</v>
      </c>
      <c r="H231" s="68">
        <f t="shared" si="2"/>
        <v>18.475000000000001</v>
      </c>
      <c r="I231" s="82">
        <v>18.837785218253963</v>
      </c>
      <c r="J231" s="32">
        <v>16.481638886455201</v>
      </c>
      <c r="K231" s="32">
        <v>8.5091435748897002</v>
      </c>
      <c r="L231" s="87">
        <v>12.912960976090185</v>
      </c>
      <c r="M231" s="119">
        <v>99</v>
      </c>
      <c r="N231" s="33">
        <v>39.285714285714299</v>
      </c>
      <c r="O231" s="114">
        <v>72.251302083333272</v>
      </c>
      <c r="P231" s="122">
        <v>1017.93869099169</v>
      </c>
      <c r="Q231" s="21">
        <v>1015.16626804389</v>
      </c>
      <c r="R231" s="74">
        <v>1016.4835865068781</v>
      </c>
      <c r="S231" s="75">
        <v>5.8000288317308062</v>
      </c>
      <c r="T231" s="65">
        <v>3.2857306189608053</v>
      </c>
      <c r="U231" s="25">
        <v>1.0897623616132153</v>
      </c>
      <c r="V231" s="223" t="s">
        <v>233</v>
      </c>
      <c r="W231" s="226"/>
      <c r="X231" s="26">
        <v>0</v>
      </c>
      <c r="Y231" s="27">
        <v>0</v>
      </c>
      <c r="Z231" s="28">
        <v>0</v>
      </c>
      <c r="AA231" s="30">
        <v>0</v>
      </c>
      <c r="AB231" s="328" t="s">
        <v>257</v>
      </c>
      <c r="AC231" s="29"/>
    </row>
    <row r="232" spans="1:29" s="20" customFormat="1" x14ac:dyDescent="0.3">
      <c r="A232" s="42">
        <v>43695</v>
      </c>
      <c r="B232" s="43">
        <v>14.3</v>
      </c>
      <c r="C232" s="14">
        <v>24.5</v>
      </c>
      <c r="D232" s="14">
        <v>19</v>
      </c>
      <c r="E232" s="14">
        <v>25.3</v>
      </c>
      <c r="F232" s="14">
        <v>12.9</v>
      </c>
      <c r="G232" s="68">
        <f t="shared" si="3"/>
        <v>12.4</v>
      </c>
      <c r="H232" s="68">
        <f t="shared" si="2"/>
        <v>19.2</v>
      </c>
      <c r="I232" s="82">
        <v>18.974671378968242</v>
      </c>
      <c r="J232" s="32">
        <v>16.970337887322501</v>
      </c>
      <c r="K232" s="32">
        <v>11.4959243896995</v>
      </c>
      <c r="L232" s="87">
        <v>14.557092556645891</v>
      </c>
      <c r="M232" s="119">
        <v>99</v>
      </c>
      <c r="N232" s="33">
        <v>55.571428571428598</v>
      </c>
      <c r="O232" s="114">
        <v>77.322358630952365</v>
      </c>
      <c r="P232" s="122">
        <v>1016.33782011074</v>
      </c>
      <c r="Q232" s="21">
        <v>1014.47497729866</v>
      </c>
      <c r="R232" s="74">
        <v>1015.4546839447617</v>
      </c>
      <c r="S232" s="75">
        <v>8.5000422533986111</v>
      </c>
      <c r="T232" s="65">
        <v>5.1589542164009714</v>
      </c>
      <c r="U232" s="25">
        <v>1.7537785592388027</v>
      </c>
      <c r="V232" s="223" t="s">
        <v>230</v>
      </c>
      <c r="W232" s="226"/>
      <c r="X232" s="26">
        <v>0</v>
      </c>
      <c r="Y232" s="27">
        <v>0</v>
      </c>
      <c r="Z232" s="28">
        <v>0</v>
      </c>
      <c r="AA232" s="30">
        <v>0</v>
      </c>
      <c r="AB232" s="328" t="s">
        <v>248</v>
      </c>
      <c r="AC232" s="29"/>
    </row>
    <row r="233" spans="1:29" s="20" customFormat="1" x14ac:dyDescent="0.3">
      <c r="A233" s="42">
        <v>43696</v>
      </c>
      <c r="B233" s="43">
        <v>16.8</v>
      </c>
      <c r="C233" s="14">
        <v>28.6</v>
      </c>
      <c r="D233" s="14">
        <v>18.399999999999999</v>
      </c>
      <c r="E233" s="14">
        <v>29</v>
      </c>
      <c r="F233" s="14">
        <v>13</v>
      </c>
      <c r="G233" s="68">
        <f t="shared" si="3"/>
        <v>16</v>
      </c>
      <c r="H233" s="68">
        <f t="shared" si="2"/>
        <v>20.55</v>
      </c>
      <c r="I233" s="82">
        <v>21.109871031746014</v>
      </c>
      <c r="J233" s="32">
        <v>17.856883307556899</v>
      </c>
      <c r="K233" s="32">
        <v>12.056227786712499</v>
      </c>
      <c r="L233" s="87">
        <v>15.461957706607611</v>
      </c>
      <c r="M233" s="119">
        <v>99</v>
      </c>
      <c r="N233" s="33">
        <v>44.285714285714299</v>
      </c>
      <c r="O233" s="114">
        <v>73.179749503968267</v>
      </c>
      <c r="P233" s="122">
        <v>1019.63596823129</v>
      </c>
      <c r="Q233" s="21">
        <v>1016.25049961697</v>
      </c>
      <c r="R233" s="74">
        <v>1017.8914862767035</v>
      </c>
      <c r="S233" s="75">
        <v>8.2000407621021942</v>
      </c>
      <c r="T233" s="65">
        <v>5.1785971711882226</v>
      </c>
      <c r="U233" s="25">
        <v>1.689306512560143</v>
      </c>
      <c r="V233" s="223" t="s">
        <v>226</v>
      </c>
      <c r="W233" s="226"/>
      <c r="X233" s="26">
        <v>0</v>
      </c>
      <c r="Y233" s="27">
        <v>0</v>
      </c>
      <c r="Z233" s="28">
        <v>0</v>
      </c>
      <c r="AA233" s="30">
        <v>0</v>
      </c>
      <c r="AB233" s="328" t="s">
        <v>318</v>
      </c>
      <c r="AC233" s="29"/>
    </row>
    <row r="234" spans="1:29" s="20" customFormat="1" x14ac:dyDescent="0.3">
      <c r="A234" s="42">
        <v>43697</v>
      </c>
      <c r="B234" s="43">
        <v>16.600000000000001</v>
      </c>
      <c r="C234" s="14">
        <v>29.1</v>
      </c>
      <c r="D234" s="14">
        <v>19.5</v>
      </c>
      <c r="E234" s="14">
        <v>30</v>
      </c>
      <c r="F234" s="14">
        <v>13.8</v>
      </c>
      <c r="G234" s="68">
        <f t="shared" si="3"/>
        <v>16.2</v>
      </c>
      <c r="H234" s="68">
        <f t="shared" si="2"/>
        <v>21.175000000000001</v>
      </c>
      <c r="I234" s="82">
        <v>21.897284226190482</v>
      </c>
      <c r="J234" s="32">
        <v>21.103233883341499</v>
      </c>
      <c r="K234" s="32">
        <v>12.686759241515499</v>
      </c>
      <c r="L234" s="87">
        <v>17.214790202395783</v>
      </c>
      <c r="M234" s="119">
        <v>99</v>
      </c>
      <c r="N234" s="33">
        <v>50.285714285714299</v>
      </c>
      <c r="O234" s="114">
        <v>77.248263888888872</v>
      </c>
      <c r="P234" s="122">
        <v>1021.52060733762</v>
      </c>
      <c r="Q234" s="21">
        <v>1019.54682958974</v>
      </c>
      <c r="R234" s="74">
        <v>1020.3961905648388</v>
      </c>
      <c r="S234" s="75">
        <v>4.1000203810510829</v>
      </c>
      <c r="T234" s="65">
        <v>2.357154574471882</v>
      </c>
      <c r="U234" s="25">
        <v>0.85261460537945688</v>
      </c>
      <c r="V234" s="223" t="s">
        <v>254</v>
      </c>
      <c r="W234" s="226"/>
      <c r="X234" s="26">
        <v>0</v>
      </c>
      <c r="Y234" s="27">
        <v>0</v>
      </c>
      <c r="Z234" s="28">
        <v>0</v>
      </c>
      <c r="AA234" s="30">
        <v>0</v>
      </c>
      <c r="AB234" s="328" t="s">
        <v>252</v>
      </c>
      <c r="AC234" s="29"/>
    </row>
    <row r="235" spans="1:29" s="20" customFormat="1" x14ac:dyDescent="0.3">
      <c r="A235" s="42">
        <v>43698</v>
      </c>
      <c r="B235" s="43">
        <v>17.100000000000001</v>
      </c>
      <c r="C235" s="14">
        <v>23.9</v>
      </c>
      <c r="D235" s="14">
        <v>17.5</v>
      </c>
      <c r="E235" s="14">
        <v>28.9</v>
      </c>
      <c r="F235" s="14">
        <v>15.3</v>
      </c>
      <c r="G235" s="68">
        <f t="shared" si="3"/>
        <v>13.599999999999998</v>
      </c>
      <c r="H235" s="68">
        <f t="shared" si="2"/>
        <v>19</v>
      </c>
      <c r="I235" s="82">
        <v>19.564279448621562</v>
      </c>
      <c r="J235" s="32">
        <v>21.678747544654598</v>
      </c>
      <c r="K235" s="32">
        <v>13.003462367816899</v>
      </c>
      <c r="L235" s="87">
        <v>15.915170239209131</v>
      </c>
      <c r="M235" s="119">
        <v>99</v>
      </c>
      <c r="N235" s="33">
        <v>61.571428571428598</v>
      </c>
      <c r="O235" s="114">
        <v>80.500689223057648</v>
      </c>
      <c r="P235" s="122">
        <v>1027.7765751991999</v>
      </c>
      <c r="Q235" s="21">
        <v>1019.4085736857199</v>
      </c>
      <c r="R235" s="74">
        <v>1023.6722898330916</v>
      </c>
      <c r="S235" s="75">
        <v>10.200050704078334</v>
      </c>
      <c r="T235" s="65">
        <v>6.4000318143236523</v>
      </c>
      <c r="U235" s="25">
        <v>2.1050513867523613</v>
      </c>
      <c r="V235" s="223" t="s">
        <v>227</v>
      </c>
      <c r="W235" s="226"/>
      <c r="X235" s="26">
        <v>0</v>
      </c>
      <c r="Y235" s="27">
        <v>0</v>
      </c>
      <c r="Z235" s="28">
        <v>0</v>
      </c>
      <c r="AA235" s="30">
        <v>0</v>
      </c>
      <c r="AB235" s="328" t="s">
        <v>368</v>
      </c>
      <c r="AC235" s="29"/>
    </row>
    <row r="236" spans="1:29" s="20" customFormat="1" x14ac:dyDescent="0.3">
      <c r="A236" s="42">
        <v>43699</v>
      </c>
      <c r="B236" s="43">
        <v>16.100000000000001</v>
      </c>
      <c r="C236" s="14">
        <v>23.4</v>
      </c>
      <c r="D236" s="14">
        <v>15.9</v>
      </c>
      <c r="E236" s="14">
        <v>24.4</v>
      </c>
      <c r="F236" s="14">
        <v>14.4</v>
      </c>
      <c r="G236" s="68">
        <f t="shared" si="3"/>
        <v>9.9999999999999982</v>
      </c>
      <c r="H236" s="68">
        <f t="shared" si="2"/>
        <v>17.824999999999999</v>
      </c>
      <c r="I236" s="82">
        <v>18.197238675958186</v>
      </c>
      <c r="J236" s="32">
        <v>16.252902757718498</v>
      </c>
      <c r="K236" s="32">
        <v>12.047818113543601</v>
      </c>
      <c r="L236" s="87">
        <v>13.989492055368544</v>
      </c>
      <c r="M236" s="119">
        <v>93</v>
      </c>
      <c r="N236" s="33">
        <v>58.285714285714299</v>
      </c>
      <c r="O236" s="114">
        <v>77.548531607765028</v>
      </c>
      <c r="P236" s="122">
        <v>1027.5437297364699</v>
      </c>
      <c r="Q236" s="21">
        <v>1025.0861071658601</v>
      </c>
      <c r="R236" s="74">
        <v>1026.6543555477756</v>
      </c>
      <c r="S236" s="75">
        <v>7.1000352940153055</v>
      </c>
      <c r="T236" s="65">
        <v>4.8785956798918058</v>
      </c>
      <c r="U236" s="25">
        <v>2.0393913381364435</v>
      </c>
      <c r="V236" s="223" t="s">
        <v>227</v>
      </c>
      <c r="W236" s="226" t="s">
        <v>240</v>
      </c>
      <c r="X236" s="26">
        <v>7.2</v>
      </c>
      <c r="Y236" s="27">
        <v>4</v>
      </c>
      <c r="Z236" s="28">
        <v>0</v>
      </c>
      <c r="AA236" s="30">
        <v>0</v>
      </c>
      <c r="AB236" s="328" t="s">
        <v>302</v>
      </c>
      <c r="AC236" s="29"/>
    </row>
    <row r="237" spans="1:29" s="20" customFormat="1" x14ac:dyDescent="0.3">
      <c r="A237" s="42">
        <v>43700</v>
      </c>
      <c r="B237" s="43">
        <v>15.9</v>
      </c>
      <c r="C237" s="14">
        <v>26.2</v>
      </c>
      <c r="D237" s="14">
        <v>17.8</v>
      </c>
      <c r="E237" s="14">
        <v>26.4</v>
      </c>
      <c r="F237" s="14">
        <v>12.6</v>
      </c>
      <c r="G237" s="68">
        <f t="shared" si="3"/>
        <v>13.799999999999999</v>
      </c>
      <c r="H237" s="68">
        <f t="shared" si="2"/>
        <v>19.425000000000001</v>
      </c>
      <c r="I237" s="82">
        <v>19.061619543650792</v>
      </c>
      <c r="J237" s="32">
        <v>20.006184209796501</v>
      </c>
      <c r="K237" s="32">
        <v>11.695575012809799</v>
      </c>
      <c r="L237" s="87">
        <v>15.632459618456194</v>
      </c>
      <c r="M237" s="119">
        <v>99</v>
      </c>
      <c r="N237" s="33">
        <v>62.714285714285701</v>
      </c>
      <c r="O237" s="114">
        <v>81.681485615079339</v>
      </c>
      <c r="P237" s="122">
        <v>1026.8160864291201</v>
      </c>
      <c r="Q237" s="21">
        <v>1024.6185926003</v>
      </c>
      <c r="R237" s="74">
        <v>1025.5855936553303</v>
      </c>
      <c r="S237" s="75">
        <v>6.1000303230272221</v>
      </c>
      <c r="T237" s="65">
        <v>3.5098388758518748</v>
      </c>
      <c r="U237" s="25">
        <v>1.2039680384524354</v>
      </c>
      <c r="V237" s="223" t="s">
        <v>234</v>
      </c>
      <c r="W237" s="226"/>
      <c r="X237" s="26">
        <v>0</v>
      </c>
      <c r="Y237" s="27">
        <v>0</v>
      </c>
      <c r="Z237" s="28">
        <v>0</v>
      </c>
      <c r="AA237" s="30">
        <v>0</v>
      </c>
      <c r="AB237" s="328" t="s">
        <v>434</v>
      </c>
      <c r="AC237" s="29"/>
    </row>
    <row r="238" spans="1:29" s="20" customFormat="1" x14ac:dyDescent="0.3">
      <c r="A238" s="42">
        <v>43701</v>
      </c>
      <c r="B238" s="43">
        <v>15.7</v>
      </c>
      <c r="C238" s="14">
        <v>28.3</v>
      </c>
      <c r="D238" s="14">
        <v>19.5</v>
      </c>
      <c r="E238" s="14">
        <v>28.6</v>
      </c>
      <c r="F238" s="14">
        <v>12.5</v>
      </c>
      <c r="G238" s="68">
        <f t="shared" si="3"/>
        <v>16.100000000000001</v>
      </c>
      <c r="H238" s="68">
        <f t="shared" si="2"/>
        <v>20.75</v>
      </c>
      <c r="I238" s="82">
        <v>20.516249999999999</v>
      </c>
      <c r="J238" s="32">
        <v>20.2247072234413</v>
      </c>
      <c r="K238" s="32">
        <v>11.432890511214101</v>
      </c>
      <c r="L238" s="87">
        <v>15.954044394917807</v>
      </c>
      <c r="M238" s="119">
        <v>99</v>
      </c>
      <c r="N238" s="33">
        <v>54.428571428571402</v>
      </c>
      <c r="O238" s="114">
        <v>76.883792162698413</v>
      </c>
      <c r="P238" s="122">
        <v>1024.9678642556501</v>
      </c>
      <c r="Q238" s="21">
        <v>1022.26099791115</v>
      </c>
      <c r="R238" s="74">
        <v>1023.5639113664757</v>
      </c>
      <c r="S238" s="75">
        <v>4.8000238607427494</v>
      </c>
      <c r="T238" s="65">
        <v>2.5571555686694971</v>
      </c>
      <c r="U238" s="25">
        <v>0.82572456141512318</v>
      </c>
      <c r="V238" s="223" t="s">
        <v>227</v>
      </c>
      <c r="W238" s="226"/>
      <c r="X238" s="26">
        <v>0</v>
      </c>
      <c r="Y238" s="27">
        <v>0</v>
      </c>
      <c r="Z238" s="28">
        <v>0</v>
      </c>
      <c r="AA238" s="30">
        <v>0</v>
      </c>
      <c r="AB238" s="328" t="s">
        <v>435</v>
      </c>
      <c r="AC238" s="29"/>
    </row>
    <row r="239" spans="1:29" s="20" customFormat="1" x14ac:dyDescent="0.3">
      <c r="A239" s="42">
        <v>43702</v>
      </c>
      <c r="B239" s="43">
        <v>15.9</v>
      </c>
      <c r="C239" s="14">
        <v>29.7</v>
      </c>
      <c r="D239" s="14">
        <v>19.3</v>
      </c>
      <c r="E239" s="14">
        <v>30.1</v>
      </c>
      <c r="F239" s="14">
        <v>13.2</v>
      </c>
      <c r="G239" s="68">
        <f t="shared" si="3"/>
        <v>16.900000000000002</v>
      </c>
      <c r="H239" s="68">
        <f t="shared" si="2"/>
        <v>21.05</v>
      </c>
      <c r="I239" s="82">
        <v>21.385745287698413</v>
      </c>
      <c r="J239" s="32">
        <v>21.2318351961495</v>
      </c>
      <c r="K239" s="32">
        <v>11.927837972128501</v>
      </c>
      <c r="L239" s="87">
        <v>16.601977487522962</v>
      </c>
      <c r="M239" s="119">
        <v>99</v>
      </c>
      <c r="N239" s="33">
        <v>48.857142857142897</v>
      </c>
      <c r="O239" s="114">
        <v>76.604724702380977</v>
      </c>
      <c r="P239" s="122">
        <v>1023.09052415735</v>
      </c>
      <c r="Q239" s="21">
        <v>1020.77657657544</v>
      </c>
      <c r="R239" s="74">
        <v>1022.2491980340872</v>
      </c>
      <c r="S239" s="75">
        <v>6.1000303230272221</v>
      </c>
      <c r="T239" s="65">
        <v>4.3634145475166939</v>
      </c>
      <c r="U239" s="25">
        <v>0.9253828242504637</v>
      </c>
      <c r="V239" s="223" t="s">
        <v>254</v>
      </c>
      <c r="W239" s="226"/>
      <c r="X239" s="26">
        <v>0</v>
      </c>
      <c r="Y239" s="27">
        <v>0</v>
      </c>
      <c r="Z239" s="28">
        <v>0</v>
      </c>
      <c r="AA239" s="30">
        <v>0</v>
      </c>
      <c r="AB239" s="328" t="s">
        <v>436</v>
      </c>
      <c r="AC239" s="29"/>
    </row>
    <row r="240" spans="1:29" s="20" customFormat="1" x14ac:dyDescent="0.3">
      <c r="A240" s="42">
        <v>43703</v>
      </c>
      <c r="B240" s="43">
        <v>16.5</v>
      </c>
      <c r="C240" s="14">
        <v>29.3</v>
      </c>
      <c r="D240" s="14">
        <v>19.5</v>
      </c>
      <c r="E240" s="14">
        <v>29.6</v>
      </c>
      <c r="F240" s="14">
        <v>15.1</v>
      </c>
      <c r="G240" s="68">
        <f t="shared" si="3"/>
        <v>14.500000000000002</v>
      </c>
      <c r="H240" s="68">
        <f t="shared" si="2"/>
        <v>21.2</v>
      </c>
      <c r="I240" s="82">
        <v>21.774255952380965</v>
      </c>
      <c r="J240" s="32">
        <v>20.721019181697699</v>
      </c>
      <c r="K240" s="32">
        <v>13.9752465798932</v>
      </c>
      <c r="L240" s="87">
        <v>17.35840770465526</v>
      </c>
      <c r="M240" s="119">
        <v>99</v>
      </c>
      <c r="N240" s="33">
        <v>50</v>
      </c>
      <c r="O240" s="114">
        <v>78.908606150793645</v>
      </c>
      <c r="P240" s="122">
        <v>1023.64717857315</v>
      </c>
      <c r="Q240" s="21">
        <v>1020.66015105003</v>
      </c>
      <c r="R240" s="74">
        <v>1022.1619482780201</v>
      </c>
      <c r="S240" s="75">
        <v>5.1000253520391672</v>
      </c>
      <c r="T240" s="65">
        <v>2.9857291276643845</v>
      </c>
      <c r="U240" s="25">
        <v>0.96510896418796599</v>
      </c>
      <c r="V240" s="223" t="s">
        <v>230</v>
      </c>
      <c r="W240" s="226"/>
      <c r="X240" s="26">
        <v>0</v>
      </c>
      <c r="Y240" s="27">
        <v>0</v>
      </c>
      <c r="Z240" s="28">
        <v>0</v>
      </c>
      <c r="AA240" s="30">
        <v>0</v>
      </c>
      <c r="AB240" s="328" t="s">
        <v>368</v>
      </c>
      <c r="AC240" s="29"/>
    </row>
    <row r="241" spans="1:29" s="20" customFormat="1" x14ac:dyDescent="0.3">
      <c r="A241" s="42">
        <v>43704</v>
      </c>
      <c r="B241" s="43">
        <v>16.8</v>
      </c>
      <c r="C241" s="14">
        <v>29.2</v>
      </c>
      <c r="D241" s="14">
        <v>19.2</v>
      </c>
      <c r="E241" s="14">
        <v>29.8</v>
      </c>
      <c r="F241" s="14">
        <v>15.1</v>
      </c>
      <c r="G241" s="68">
        <f t="shared" si="3"/>
        <v>14.700000000000001</v>
      </c>
      <c r="H241" s="68">
        <f t="shared" si="2"/>
        <v>21.1</v>
      </c>
      <c r="I241" s="82">
        <v>21.572426835317465</v>
      </c>
      <c r="J241" s="32">
        <v>21.286075026825799</v>
      </c>
      <c r="K241" s="32">
        <v>14.4660771116167</v>
      </c>
      <c r="L241" s="87">
        <v>17.745335024371315</v>
      </c>
      <c r="M241" s="119">
        <v>99</v>
      </c>
      <c r="N241" s="33">
        <v>47</v>
      </c>
      <c r="O241" s="114">
        <v>81.198722718253947</v>
      </c>
      <c r="P241" s="122">
        <v>1023.04686493681</v>
      </c>
      <c r="Q241" s="21">
        <v>1020.8930020545999</v>
      </c>
      <c r="R241" s="74">
        <v>1022.0383042941176</v>
      </c>
      <c r="S241" s="75">
        <v>5.4000268433355831</v>
      </c>
      <c r="T241" s="65">
        <v>2.8714428452657446</v>
      </c>
      <c r="U241" s="25">
        <v>0.80195711149941784</v>
      </c>
      <c r="V241" s="223" t="s">
        <v>357</v>
      </c>
      <c r="W241" s="226"/>
      <c r="X241" s="26">
        <v>0</v>
      </c>
      <c r="Y241" s="27">
        <v>0</v>
      </c>
      <c r="Z241" s="28">
        <v>0</v>
      </c>
      <c r="AA241" s="30">
        <v>0</v>
      </c>
      <c r="AB241" s="328" t="s">
        <v>437</v>
      </c>
      <c r="AC241" s="29"/>
    </row>
    <row r="242" spans="1:29" s="20" customFormat="1" x14ac:dyDescent="0.3">
      <c r="A242" s="42">
        <v>43705</v>
      </c>
      <c r="B242" s="43">
        <v>16.7</v>
      </c>
      <c r="C242" s="14">
        <v>30.1</v>
      </c>
      <c r="D242" s="14">
        <v>18.899999999999999</v>
      </c>
      <c r="E242" s="14">
        <v>30.3</v>
      </c>
      <c r="F242" s="14">
        <v>15.1</v>
      </c>
      <c r="G242" s="68">
        <f t="shared" si="3"/>
        <v>15.200000000000001</v>
      </c>
      <c r="H242" s="68">
        <f t="shared" si="2"/>
        <v>21.15</v>
      </c>
      <c r="I242" s="82">
        <v>21.530071924603178</v>
      </c>
      <c r="J242" s="32">
        <v>20.808387483473702</v>
      </c>
      <c r="K242" s="32">
        <v>14.664058758271199</v>
      </c>
      <c r="L242" s="87">
        <v>17.356822985998605</v>
      </c>
      <c r="M242" s="119">
        <v>99</v>
      </c>
      <c r="N242" s="33">
        <v>43.5</v>
      </c>
      <c r="O242" s="114">
        <v>80.081535218253961</v>
      </c>
      <c r="P242" s="122">
        <v>1022.72669714867</v>
      </c>
      <c r="Q242" s="21">
        <v>1019.52499970988</v>
      </c>
      <c r="R242" s="74">
        <v>1021.0021992226656</v>
      </c>
      <c r="S242" s="75">
        <v>4.8000238607427494</v>
      </c>
      <c r="T242" s="65">
        <v>2.6714418510681401</v>
      </c>
      <c r="U242" s="25">
        <v>0.83804360040784154</v>
      </c>
      <c r="V242" s="223" t="s">
        <v>255</v>
      </c>
      <c r="W242" s="226"/>
      <c r="X242" s="26">
        <v>0</v>
      </c>
      <c r="Y242" s="27">
        <v>0</v>
      </c>
      <c r="Z242" s="28">
        <v>0</v>
      </c>
      <c r="AA242" s="30">
        <v>0</v>
      </c>
      <c r="AB242" s="328" t="s">
        <v>352</v>
      </c>
      <c r="AC242" s="29"/>
    </row>
    <row r="243" spans="1:29" s="20" customFormat="1" x14ac:dyDescent="0.3">
      <c r="A243" s="42">
        <v>43706</v>
      </c>
      <c r="B243" s="43">
        <v>16.399999999999999</v>
      </c>
      <c r="C243" s="14">
        <v>30.5</v>
      </c>
      <c r="D243" s="14">
        <v>19</v>
      </c>
      <c r="E243" s="14">
        <v>30.9</v>
      </c>
      <c r="F243" s="14">
        <v>14.9</v>
      </c>
      <c r="G243" s="68">
        <f t="shared" si="3"/>
        <v>15.999999999999998</v>
      </c>
      <c r="H243" s="68">
        <f t="shared" si="2"/>
        <v>21.225000000000001</v>
      </c>
      <c r="I243" s="82">
        <v>21.311253720238124</v>
      </c>
      <c r="J243" s="32">
        <v>22.375672790882799</v>
      </c>
      <c r="K243" s="32">
        <v>14.2396228234019</v>
      </c>
      <c r="L243" s="87">
        <v>17.551829401305923</v>
      </c>
      <c r="M243" s="119">
        <v>99</v>
      </c>
      <c r="N243" s="33">
        <v>49.857142857142897</v>
      </c>
      <c r="O243" s="114">
        <v>81.470300099206341</v>
      </c>
      <c r="P243" s="122">
        <v>1020.95121476593</v>
      </c>
      <c r="Q243" s="21">
        <v>1018.84099610957</v>
      </c>
      <c r="R243" s="74">
        <v>1019.9202169526504</v>
      </c>
      <c r="S243" s="75">
        <v>4.4000218723474998</v>
      </c>
      <c r="T243" s="65">
        <v>2.2714398626729055</v>
      </c>
      <c r="U243" s="25">
        <v>0.67417869853983148</v>
      </c>
      <c r="V243" s="223" t="s">
        <v>357</v>
      </c>
      <c r="W243" s="226" t="s">
        <v>438</v>
      </c>
      <c r="X243" s="26">
        <v>0.4</v>
      </c>
      <c r="Y243" s="27">
        <v>0.1</v>
      </c>
      <c r="Z243" s="28">
        <v>0</v>
      </c>
      <c r="AA243" s="30">
        <v>0</v>
      </c>
      <c r="AB243" s="328" t="s">
        <v>439</v>
      </c>
      <c r="AC243" s="29"/>
    </row>
    <row r="244" spans="1:29" s="20" customFormat="1" x14ac:dyDescent="0.3">
      <c r="A244" s="42">
        <v>43707</v>
      </c>
      <c r="B244" s="43">
        <v>16.2</v>
      </c>
      <c r="C244" s="14">
        <v>31.6</v>
      </c>
      <c r="D244" s="14">
        <v>19.899999999999999</v>
      </c>
      <c r="E244" s="14">
        <v>31.8</v>
      </c>
      <c r="F244" s="14">
        <v>13.9</v>
      </c>
      <c r="G244" s="68">
        <f t="shared" si="3"/>
        <v>17.899999999999999</v>
      </c>
      <c r="H244" s="68">
        <f t="shared" si="2"/>
        <v>21.9</v>
      </c>
      <c r="I244" s="82">
        <v>21.67985491071429</v>
      </c>
      <c r="J244" s="32">
        <v>20.731375088566701</v>
      </c>
      <c r="K244" s="32">
        <v>12.9494522832281</v>
      </c>
      <c r="L244" s="87">
        <v>17.141745718103429</v>
      </c>
      <c r="M244" s="119">
        <v>99</v>
      </c>
      <c r="N244" s="33">
        <v>46.75</v>
      </c>
      <c r="O244" s="114">
        <v>77.739211309523853</v>
      </c>
      <c r="P244" s="122">
        <v>1022.49384762221</v>
      </c>
      <c r="Q244" s="21">
        <v>1020.27267200109</v>
      </c>
      <c r="R244" s="74">
        <v>1021.4200167490906</v>
      </c>
      <c r="S244" s="75">
        <v>5.8000288317308062</v>
      </c>
      <c r="T244" s="65">
        <v>3.7071612853057774</v>
      </c>
      <c r="U244" s="25">
        <v>0.79700295513773201</v>
      </c>
      <c r="V244" s="223" t="s">
        <v>255</v>
      </c>
      <c r="W244" s="226"/>
      <c r="X244" s="26">
        <v>0</v>
      </c>
      <c r="Y244" s="27">
        <v>0</v>
      </c>
      <c r="Z244" s="28">
        <v>0</v>
      </c>
      <c r="AA244" s="30">
        <v>0</v>
      </c>
      <c r="AB244" s="328" t="s">
        <v>442</v>
      </c>
      <c r="AC244" s="29"/>
    </row>
    <row r="245" spans="1:29" s="413" customFormat="1" ht="15" thickBot="1" x14ac:dyDescent="0.35">
      <c r="A245" s="391">
        <v>43708</v>
      </c>
      <c r="B245" s="392">
        <v>17.3</v>
      </c>
      <c r="C245" s="393">
        <v>30</v>
      </c>
      <c r="D245" s="393">
        <v>18.8</v>
      </c>
      <c r="E245" s="393">
        <v>30.3</v>
      </c>
      <c r="F245" s="393">
        <v>14.7</v>
      </c>
      <c r="G245" s="394">
        <f t="shared" si="3"/>
        <v>15.600000000000001</v>
      </c>
      <c r="H245" s="393">
        <f t="shared" si="2"/>
        <v>21.225000000000001</v>
      </c>
      <c r="I245" s="395">
        <v>21.759126984126972</v>
      </c>
      <c r="J245" s="393">
        <v>19.181079164546698</v>
      </c>
      <c r="K245" s="393">
        <v>13.621272373112699</v>
      </c>
      <c r="L245" s="395">
        <v>16.367893534526562</v>
      </c>
      <c r="M245" s="396">
        <v>99</v>
      </c>
      <c r="N245" s="397">
        <v>39.571428571428598</v>
      </c>
      <c r="O245" s="398">
        <v>74.915116567460302</v>
      </c>
      <c r="P245" s="399">
        <v>1022.10091359664</v>
      </c>
      <c r="Q245" s="400">
        <v>1017.29834369907</v>
      </c>
      <c r="R245" s="401">
        <v>1019.793767802271</v>
      </c>
      <c r="S245" s="402">
        <v>3.7000183926558612</v>
      </c>
      <c r="T245" s="403">
        <v>2.2125109983111066</v>
      </c>
      <c r="U245" s="404">
        <v>0.69681645988083629</v>
      </c>
      <c r="V245" s="405" t="s">
        <v>229</v>
      </c>
      <c r="W245" s="406"/>
      <c r="X245" s="407">
        <v>0</v>
      </c>
      <c r="Y245" s="408">
        <v>0</v>
      </c>
      <c r="Z245" s="409">
        <v>0</v>
      </c>
      <c r="AA245" s="410">
        <v>0</v>
      </c>
      <c r="AB245" s="411" t="s">
        <v>315</v>
      </c>
      <c r="AC245" s="412"/>
    </row>
    <row r="246" spans="1:29" s="433" customFormat="1" x14ac:dyDescent="0.3">
      <c r="A246" s="414">
        <v>43709</v>
      </c>
      <c r="B246" s="415">
        <v>15.7</v>
      </c>
      <c r="C246" s="416">
        <v>29.3</v>
      </c>
      <c r="D246" s="416">
        <v>17.2</v>
      </c>
      <c r="E246" s="416">
        <v>29.7</v>
      </c>
      <c r="F246" s="416">
        <v>14.2</v>
      </c>
      <c r="G246" s="417">
        <f t="shared" si="3"/>
        <v>15.5</v>
      </c>
      <c r="H246" s="417">
        <f t="shared" si="2"/>
        <v>19.850000000000001</v>
      </c>
      <c r="I246" s="418">
        <v>20.9</v>
      </c>
      <c r="J246" s="416">
        <v>18.763655061921199</v>
      </c>
      <c r="K246" s="416">
        <v>13.0832231639447</v>
      </c>
      <c r="L246" s="418">
        <v>15.406399057660131</v>
      </c>
      <c r="M246" s="419">
        <v>99</v>
      </c>
      <c r="N246" s="420">
        <v>39.571428571428598</v>
      </c>
      <c r="O246" s="421">
        <v>75.530319940476204</v>
      </c>
      <c r="P246" s="422">
        <v>1017.3128970777</v>
      </c>
      <c r="Q246" s="423">
        <v>1012.69944397086</v>
      </c>
      <c r="R246" s="424">
        <v>1014.834964663242</v>
      </c>
      <c r="S246" s="382">
        <v>6.5</v>
      </c>
      <c r="T246" s="425">
        <v>4.064305917801514</v>
      </c>
      <c r="U246" s="383">
        <v>1.1000000000000001</v>
      </c>
      <c r="V246" s="384" t="s">
        <v>226</v>
      </c>
      <c r="W246" s="426"/>
      <c r="X246" s="427">
        <v>0</v>
      </c>
      <c r="Y246" s="428">
        <v>0</v>
      </c>
      <c r="Z246" s="429">
        <v>0</v>
      </c>
      <c r="AA246" s="430">
        <v>0</v>
      </c>
      <c r="AB246" s="431" t="s">
        <v>444</v>
      </c>
      <c r="AC246" s="432"/>
    </row>
    <row r="247" spans="1:29" s="20" customFormat="1" x14ac:dyDescent="0.3">
      <c r="A247" s="434">
        <v>43710</v>
      </c>
      <c r="B247" s="43">
        <v>15.7</v>
      </c>
      <c r="C247" s="14">
        <v>26.5</v>
      </c>
      <c r="D247" s="14">
        <v>19</v>
      </c>
      <c r="E247" s="14">
        <v>27</v>
      </c>
      <c r="F247" s="14">
        <v>13.4</v>
      </c>
      <c r="G247" s="80">
        <f t="shared" si="3"/>
        <v>13.6</v>
      </c>
      <c r="H247" s="80">
        <f t="shared" si="2"/>
        <v>20.05</v>
      </c>
      <c r="I247" s="82">
        <v>19.7</v>
      </c>
      <c r="J247" s="32">
        <v>20.442101978868202</v>
      </c>
      <c r="K247" s="32">
        <v>12.552466598707801</v>
      </c>
      <c r="L247" s="87">
        <v>15.941742170098511</v>
      </c>
      <c r="M247" s="119">
        <v>99</v>
      </c>
      <c r="N247" s="33">
        <v>59</v>
      </c>
      <c r="O247" s="114">
        <v>80.133122519841265</v>
      </c>
      <c r="P247" s="122">
        <v>1020.06346948455</v>
      </c>
      <c r="Q247" s="21">
        <v>1014.08203234886</v>
      </c>
      <c r="R247" s="74">
        <v>1015.9823309404544</v>
      </c>
      <c r="S247" s="75">
        <v>8.5</v>
      </c>
      <c r="T247" s="65">
        <v>4.6714517930442776</v>
      </c>
      <c r="U247" s="25">
        <v>1.3</v>
      </c>
      <c r="V247" s="223" t="s">
        <v>227</v>
      </c>
      <c r="W247" s="224" t="s">
        <v>240</v>
      </c>
      <c r="X247" s="16">
        <v>70.400000000000006</v>
      </c>
      <c r="Y247" s="17">
        <v>35.4</v>
      </c>
      <c r="Z247" s="18">
        <v>0</v>
      </c>
      <c r="AA247" s="46">
        <v>0</v>
      </c>
      <c r="AB247" s="327" t="s">
        <v>447</v>
      </c>
      <c r="AC247" s="255"/>
    </row>
    <row r="248" spans="1:29" s="20" customFormat="1" x14ac:dyDescent="0.3">
      <c r="A248" s="434">
        <v>43711</v>
      </c>
      <c r="B248" s="43">
        <v>13.4</v>
      </c>
      <c r="C248" s="14">
        <v>14.7</v>
      </c>
      <c r="D248" s="14">
        <v>13.4</v>
      </c>
      <c r="E248" s="14">
        <v>15.3</v>
      </c>
      <c r="F248" s="14">
        <v>9.8000000000000007</v>
      </c>
      <c r="G248" s="80">
        <f t="shared" si="3"/>
        <v>5.5</v>
      </c>
      <c r="H248" s="80">
        <f t="shared" si="2"/>
        <v>13.725000000000001</v>
      </c>
      <c r="I248" s="82">
        <v>13.9</v>
      </c>
      <c r="J248" s="32">
        <v>14.3950062500217</v>
      </c>
      <c r="K248" s="32">
        <v>7.4477792630436399</v>
      </c>
      <c r="L248" s="87">
        <v>12.518312910114233</v>
      </c>
      <c r="M248" s="119">
        <v>97</v>
      </c>
      <c r="N248" s="33">
        <v>87</v>
      </c>
      <c r="O248" s="114">
        <v>92.96888999502238</v>
      </c>
      <c r="P248" s="122">
        <v>1023.46890374937</v>
      </c>
      <c r="Q248" s="21">
        <v>1019.3940204256201</v>
      </c>
      <c r="R248" s="74">
        <v>1021.9373795523212</v>
      </c>
      <c r="S248" s="75">
        <v>5.8</v>
      </c>
      <c r="T248" s="65">
        <v>3.2643019410110554</v>
      </c>
      <c r="U248" s="25">
        <v>1.3</v>
      </c>
      <c r="V248" s="223" t="s">
        <v>227</v>
      </c>
      <c r="W248" s="224" t="s">
        <v>240</v>
      </c>
      <c r="X248" s="16">
        <v>7.8</v>
      </c>
      <c r="Y248" s="17">
        <v>6</v>
      </c>
      <c r="Z248" s="18">
        <v>0</v>
      </c>
      <c r="AA248" s="46">
        <v>0</v>
      </c>
      <c r="AB248" s="327" t="s">
        <v>448</v>
      </c>
      <c r="AC248" s="255"/>
    </row>
    <row r="249" spans="1:29" s="20" customFormat="1" x14ac:dyDescent="0.3">
      <c r="A249" s="434">
        <v>43712</v>
      </c>
      <c r="B249" s="43">
        <v>8.8000000000000007</v>
      </c>
      <c r="C249" s="14">
        <v>22.7</v>
      </c>
      <c r="D249" s="14">
        <v>11.1</v>
      </c>
      <c r="E249" s="14">
        <v>22.9</v>
      </c>
      <c r="F249" s="14">
        <v>8.1999999999999993</v>
      </c>
      <c r="G249" s="80">
        <f t="shared" si="3"/>
        <v>14.7</v>
      </c>
      <c r="H249" s="80">
        <f t="shared" si="2"/>
        <v>13.425000000000001</v>
      </c>
      <c r="I249" s="82">
        <v>14.3</v>
      </c>
      <c r="J249" s="32">
        <v>14.0304003274676</v>
      </c>
      <c r="K249" s="32">
        <v>6.6577985722977502</v>
      </c>
      <c r="L249" s="87">
        <v>9.5673750921755882</v>
      </c>
      <c r="M249" s="119">
        <v>99</v>
      </c>
      <c r="N249" s="33">
        <v>46.428571428571402</v>
      </c>
      <c r="O249" s="114">
        <v>76.750620039682559</v>
      </c>
      <c r="P249" s="122">
        <v>1023.11963029243</v>
      </c>
      <c r="Q249" s="21">
        <v>1017.83681766108</v>
      </c>
      <c r="R249" s="74">
        <v>1020.5106836729519</v>
      </c>
      <c r="S249" s="76">
        <v>6.8</v>
      </c>
      <c r="T249" s="66">
        <v>3.9026979715971946</v>
      </c>
      <c r="U249" s="19">
        <v>0.9</v>
      </c>
      <c r="V249" s="223" t="s">
        <v>229</v>
      </c>
      <c r="W249" s="225" t="s">
        <v>438</v>
      </c>
      <c r="X249" s="16">
        <v>0.4</v>
      </c>
      <c r="Y249" s="17">
        <v>0.1</v>
      </c>
      <c r="Z249" s="18">
        <v>0</v>
      </c>
      <c r="AA249" s="46">
        <v>0</v>
      </c>
      <c r="AB249" s="327" t="s">
        <v>451</v>
      </c>
      <c r="AC249" s="255"/>
    </row>
    <row r="250" spans="1:29" s="20" customFormat="1" x14ac:dyDescent="0.3">
      <c r="A250" s="434">
        <v>43713</v>
      </c>
      <c r="B250" s="43">
        <v>8.8000000000000007</v>
      </c>
      <c r="C250" s="14">
        <v>23.8</v>
      </c>
      <c r="D250" s="14">
        <v>12.9</v>
      </c>
      <c r="E250" s="14">
        <v>24.3</v>
      </c>
      <c r="F250" s="14">
        <v>7.6</v>
      </c>
      <c r="G250" s="68">
        <f t="shared" si="3"/>
        <v>16.700000000000003</v>
      </c>
      <c r="H250" s="68">
        <f t="shared" si="2"/>
        <v>14.600000000000001</v>
      </c>
      <c r="I250" s="82">
        <v>14.8</v>
      </c>
      <c r="J250" s="32">
        <v>14.511072908849</v>
      </c>
      <c r="K250" s="32">
        <v>6.1640442697994899</v>
      </c>
      <c r="L250" s="87">
        <v>10.301380539883578</v>
      </c>
      <c r="M250" s="119">
        <v>99</v>
      </c>
      <c r="N250" s="33">
        <v>35.714285714285701</v>
      </c>
      <c r="O250" s="114">
        <v>77.266493055555543</v>
      </c>
      <c r="P250" s="122">
        <v>1017.83681766108</v>
      </c>
      <c r="Q250" s="21">
        <v>1014.46042380117</v>
      </c>
      <c r="R250" s="74">
        <v>1016.2644068567784</v>
      </c>
      <c r="S250" s="75">
        <v>4.0999999999999996</v>
      </c>
      <c r="T250" s="65">
        <v>2.0357244052257153</v>
      </c>
      <c r="U250" s="25">
        <v>0.8</v>
      </c>
      <c r="V250" s="223" t="s">
        <v>254</v>
      </c>
      <c r="W250" s="225"/>
      <c r="X250" s="16">
        <v>0</v>
      </c>
      <c r="Y250" s="17">
        <v>0</v>
      </c>
      <c r="Z250" s="18">
        <v>0</v>
      </c>
      <c r="AA250" s="46">
        <v>0</v>
      </c>
      <c r="AB250" s="327" t="s">
        <v>452</v>
      </c>
      <c r="AC250" s="255"/>
    </row>
    <row r="251" spans="1:29" s="20" customFormat="1" x14ac:dyDescent="0.3">
      <c r="A251" s="434">
        <v>43714</v>
      </c>
      <c r="B251" s="43">
        <v>12.2</v>
      </c>
      <c r="C251" s="14">
        <v>22.8</v>
      </c>
      <c r="D251" s="14">
        <v>12.9</v>
      </c>
      <c r="E251" s="14">
        <v>23.2</v>
      </c>
      <c r="F251" s="14">
        <v>8.6</v>
      </c>
      <c r="G251" s="68">
        <f t="shared" si="3"/>
        <v>14.6</v>
      </c>
      <c r="H251" s="68">
        <f t="shared" si="2"/>
        <v>15.2</v>
      </c>
      <c r="I251" s="82">
        <v>15.4</v>
      </c>
      <c r="J251" s="32">
        <v>17.643423697112802</v>
      </c>
      <c r="K251" s="32">
        <v>7.2141455020599903</v>
      </c>
      <c r="L251" s="87">
        <v>10.942228576368274</v>
      </c>
      <c r="M251" s="119">
        <v>99</v>
      </c>
      <c r="N251" s="33">
        <v>50.428571428571402</v>
      </c>
      <c r="O251" s="114">
        <v>77.348028273809561</v>
      </c>
      <c r="P251" s="122">
        <v>1022.62846377368</v>
      </c>
      <c r="Q251" s="21">
        <v>1017.6876459170199</v>
      </c>
      <c r="R251" s="74">
        <v>1021.0855641068376</v>
      </c>
      <c r="S251" s="75">
        <v>8.1999999999999993</v>
      </c>
      <c r="T251" s="65">
        <v>5.243776066618695</v>
      </c>
      <c r="U251" s="25">
        <v>1.3</v>
      </c>
      <c r="V251" s="223" t="s">
        <v>229</v>
      </c>
      <c r="W251" s="225"/>
      <c r="X251" s="16">
        <v>0</v>
      </c>
      <c r="Y251" s="17">
        <v>0</v>
      </c>
      <c r="Z251" s="18">
        <v>0</v>
      </c>
      <c r="AA251" s="46">
        <v>0</v>
      </c>
      <c r="AB251" s="327" t="s">
        <v>261</v>
      </c>
      <c r="AC251" s="255"/>
    </row>
    <row r="252" spans="1:29" s="20" customFormat="1" x14ac:dyDescent="0.3">
      <c r="A252" s="434">
        <v>43715</v>
      </c>
      <c r="B252" s="43">
        <v>10.4</v>
      </c>
      <c r="C252" s="14">
        <v>22.2</v>
      </c>
      <c r="D252" s="14">
        <v>16.399999999999999</v>
      </c>
      <c r="E252" s="14">
        <v>22.2</v>
      </c>
      <c r="F252" s="14">
        <v>8.6</v>
      </c>
      <c r="G252" s="68">
        <f t="shared" si="3"/>
        <v>13.6</v>
      </c>
      <c r="H252" s="68">
        <f t="shared" si="2"/>
        <v>16.350000000000001</v>
      </c>
      <c r="I252" s="82">
        <v>15.4</v>
      </c>
      <c r="J252" s="32">
        <v>15.757496625942901</v>
      </c>
      <c r="K252" s="32">
        <v>7.0527929473091797</v>
      </c>
      <c r="L252" s="87">
        <v>12.674953438926464</v>
      </c>
      <c r="M252" s="119">
        <v>98.571428571428598</v>
      </c>
      <c r="N252" s="33">
        <v>60.285714285714299</v>
      </c>
      <c r="O252" s="114">
        <v>82.829708353929803</v>
      </c>
      <c r="P252" s="122">
        <v>1020.29632097738</v>
      </c>
      <c r="Q252" s="21">
        <v>1016.10496542796</v>
      </c>
      <c r="R252" s="74">
        <v>1017.7860992211089</v>
      </c>
      <c r="S252" s="75">
        <v>4.4000000000000004</v>
      </c>
      <c r="T252" s="65">
        <v>2.4285835009710306</v>
      </c>
      <c r="U252" s="25">
        <v>0.7</v>
      </c>
      <c r="V252" s="223" t="s">
        <v>229</v>
      </c>
      <c r="W252" s="225"/>
      <c r="X252" s="16">
        <v>0</v>
      </c>
      <c r="Y252" s="17">
        <v>0</v>
      </c>
      <c r="Z252" s="18">
        <v>0</v>
      </c>
      <c r="AA252" s="46">
        <v>0</v>
      </c>
      <c r="AB252" s="327" t="s">
        <v>251</v>
      </c>
      <c r="AC252" s="255"/>
    </row>
    <row r="253" spans="1:29" s="20" customFormat="1" x14ac:dyDescent="0.3">
      <c r="A253" s="434">
        <v>43716</v>
      </c>
      <c r="B253" s="43">
        <v>15.6</v>
      </c>
      <c r="C253" s="14">
        <v>21.5</v>
      </c>
      <c r="D253" s="14">
        <v>16</v>
      </c>
      <c r="E253" s="14">
        <v>22.9</v>
      </c>
      <c r="F253" s="14">
        <v>13.7</v>
      </c>
      <c r="G253" s="68">
        <f t="shared" si="3"/>
        <v>9.1999999999999993</v>
      </c>
      <c r="H253" s="68">
        <f t="shared" si="2"/>
        <v>17.274999999999999</v>
      </c>
      <c r="I253" s="82">
        <v>17.899999999999999</v>
      </c>
      <c r="J253" s="32">
        <v>16.616777139956302</v>
      </c>
      <c r="K253" s="32">
        <v>12.2986934806757</v>
      </c>
      <c r="L253" s="87">
        <v>14.889777999581005</v>
      </c>
      <c r="M253" s="119">
        <v>99</v>
      </c>
      <c r="N253" s="33">
        <v>61</v>
      </c>
      <c r="O253" s="114">
        <v>84.398499503968253</v>
      </c>
      <c r="P253" s="122">
        <v>1018.62269673447</v>
      </c>
      <c r="Q253" s="21">
        <v>1016.25049962213</v>
      </c>
      <c r="R253" s="74">
        <v>1017.6515143644392</v>
      </c>
      <c r="S253" s="75">
        <v>8.5</v>
      </c>
      <c r="T253" s="65">
        <v>4.7857380754429162</v>
      </c>
      <c r="U253" s="25">
        <v>1.7</v>
      </c>
      <c r="V253" s="223" t="s">
        <v>230</v>
      </c>
      <c r="W253" s="225" t="s">
        <v>240</v>
      </c>
      <c r="X253" s="16">
        <v>5.4</v>
      </c>
      <c r="Y253" s="17">
        <v>2</v>
      </c>
      <c r="Z253" s="18">
        <v>0</v>
      </c>
      <c r="AA253" s="46">
        <v>0</v>
      </c>
      <c r="AB253" s="327" t="s">
        <v>266</v>
      </c>
      <c r="AC253" s="255"/>
    </row>
    <row r="254" spans="1:29" s="20" customFormat="1" x14ac:dyDescent="0.3">
      <c r="A254" s="434">
        <v>43717</v>
      </c>
      <c r="B254" s="43">
        <v>14.1</v>
      </c>
      <c r="C254" s="14">
        <v>18.899999999999999</v>
      </c>
      <c r="D254" s="14">
        <v>13.2</v>
      </c>
      <c r="E254" s="14">
        <v>20.100000000000001</v>
      </c>
      <c r="F254" s="14">
        <v>12.3</v>
      </c>
      <c r="G254" s="68">
        <f t="shared" si="3"/>
        <v>7.8000000000000007</v>
      </c>
      <c r="H254" s="68">
        <f t="shared" si="2"/>
        <v>14.85</v>
      </c>
      <c r="I254" s="82">
        <v>15.6</v>
      </c>
      <c r="J254" s="32">
        <v>16.620729545690999</v>
      </c>
      <c r="K254" s="32">
        <v>11.4916151573322</v>
      </c>
      <c r="L254" s="87">
        <v>13.276456278748146</v>
      </c>
      <c r="M254" s="119">
        <v>99</v>
      </c>
      <c r="N254" s="33">
        <v>61</v>
      </c>
      <c r="O254" s="114">
        <v>87.466455853174594</v>
      </c>
      <c r="P254" s="122">
        <v>1016.36692693511</v>
      </c>
      <c r="Q254" s="21">
        <v>1011.09126697667</v>
      </c>
      <c r="R254" s="74">
        <v>1014.1297823388047</v>
      </c>
      <c r="S254" s="75">
        <v>9.5</v>
      </c>
      <c r="T254" s="65">
        <v>5.5607419279586665</v>
      </c>
      <c r="U254" s="25">
        <v>1.5</v>
      </c>
      <c r="V254" s="223" t="s">
        <v>226</v>
      </c>
      <c r="W254" s="225" t="s">
        <v>240</v>
      </c>
      <c r="X254" s="16">
        <v>21.8</v>
      </c>
      <c r="Y254" s="17">
        <v>15.5</v>
      </c>
      <c r="Z254" s="18">
        <v>0</v>
      </c>
      <c r="AA254" s="46">
        <v>0</v>
      </c>
      <c r="AB254" s="327" t="s">
        <v>262</v>
      </c>
      <c r="AC254" s="255"/>
    </row>
    <row r="255" spans="1:29" s="20" customFormat="1" x14ac:dyDescent="0.3">
      <c r="A255" s="434">
        <v>43718</v>
      </c>
      <c r="B255" s="43">
        <v>14.2</v>
      </c>
      <c r="C255" s="14">
        <v>22.2</v>
      </c>
      <c r="D255" s="14">
        <v>11</v>
      </c>
      <c r="E255" s="14">
        <v>22.2</v>
      </c>
      <c r="F255" s="14">
        <v>9.6</v>
      </c>
      <c r="G255" s="68">
        <f t="shared" si="3"/>
        <v>12.6</v>
      </c>
      <c r="H255" s="68">
        <f t="shared" si="2"/>
        <v>14.6</v>
      </c>
      <c r="I255" s="82">
        <v>15.5</v>
      </c>
      <c r="J255" s="32">
        <v>13.7170978857805</v>
      </c>
      <c r="K255" s="32">
        <v>7.2141455020599903</v>
      </c>
      <c r="L255" s="87">
        <v>10.91133158197983</v>
      </c>
      <c r="M255" s="119">
        <v>93</v>
      </c>
      <c r="N255" s="33">
        <v>55.142857142857103</v>
      </c>
      <c r="O255" s="114">
        <v>77.069816468253961</v>
      </c>
      <c r="P255" s="122">
        <v>1023.04686494194</v>
      </c>
      <c r="Q255" s="21">
        <v>1016.1086037797201</v>
      </c>
      <c r="R255" s="74">
        <v>1020.165481042792</v>
      </c>
      <c r="S255" s="75">
        <v>8.5</v>
      </c>
      <c r="T255" s="65">
        <v>5.4928844477844727</v>
      </c>
      <c r="U255" s="25">
        <v>2.2000000000000002</v>
      </c>
      <c r="V255" s="223" t="s">
        <v>226</v>
      </c>
      <c r="W255" s="225" t="s">
        <v>240</v>
      </c>
      <c r="X255" s="16">
        <v>0.4</v>
      </c>
      <c r="Y255" s="17">
        <v>0.1</v>
      </c>
      <c r="Z255" s="18">
        <v>0</v>
      </c>
      <c r="AA255" s="46">
        <v>0</v>
      </c>
      <c r="AB255" s="327" t="s">
        <v>257</v>
      </c>
      <c r="AC255" s="255"/>
    </row>
    <row r="256" spans="1:29" s="20" customFormat="1" x14ac:dyDescent="0.3">
      <c r="A256" s="434">
        <v>43719</v>
      </c>
      <c r="B256" s="43">
        <v>9.4</v>
      </c>
      <c r="C256" s="14">
        <v>24.5</v>
      </c>
      <c r="D256" s="14">
        <v>13.2</v>
      </c>
      <c r="E256" s="14">
        <v>24.8</v>
      </c>
      <c r="F256" s="14">
        <v>8.6</v>
      </c>
      <c r="G256" s="68">
        <f t="shared" si="3"/>
        <v>16.200000000000003</v>
      </c>
      <c r="H256" s="68">
        <f t="shared" si="2"/>
        <v>15.074999999999999</v>
      </c>
      <c r="I256" s="82">
        <v>15.4</v>
      </c>
      <c r="J256" s="32">
        <v>15.1215287474511</v>
      </c>
      <c r="K256" s="32">
        <v>8.0278899753766293</v>
      </c>
      <c r="L256" s="87">
        <v>11.407813172379827</v>
      </c>
      <c r="M256" s="119">
        <v>99</v>
      </c>
      <c r="N256" s="33">
        <v>49.571428571428598</v>
      </c>
      <c r="O256" s="114">
        <v>79.384920634920647</v>
      </c>
      <c r="P256" s="122">
        <v>1025.2298177159601</v>
      </c>
      <c r="Q256" s="21">
        <v>1022.62482549911</v>
      </c>
      <c r="R256" s="74">
        <v>1023.8718780087891</v>
      </c>
      <c r="S256" s="75">
        <v>2</v>
      </c>
      <c r="T256" s="65">
        <v>1.7187585438857487</v>
      </c>
      <c r="U256" s="25">
        <v>0.7</v>
      </c>
      <c r="V256" s="223" t="s">
        <v>229</v>
      </c>
      <c r="W256" s="225"/>
      <c r="X256" s="16">
        <v>0</v>
      </c>
      <c r="Y256" s="17">
        <v>0</v>
      </c>
      <c r="Z256" s="18">
        <v>0</v>
      </c>
      <c r="AA256" s="46">
        <v>0</v>
      </c>
      <c r="AB256" s="327" t="s">
        <v>318</v>
      </c>
      <c r="AC256" s="255"/>
    </row>
    <row r="257" spans="1:29" s="20" customFormat="1" x14ac:dyDescent="0.3">
      <c r="A257" s="434">
        <v>43720</v>
      </c>
      <c r="B257" s="43">
        <v>9.6</v>
      </c>
      <c r="C257" s="14">
        <v>25.2</v>
      </c>
      <c r="D257" s="14">
        <v>13.8</v>
      </c>
      <c r="E257" s="14">
        <v>25.6</v>
      </c>
      <c r="F257" s="14">
        <v>7.8</v>
      </c>
      <c r="G257" s="68">
        <f t="shared" si="3"/>
        <v>17.8</v>
      </c>
      <c r="H257" s="68">
        <f t="shared" si="2"/>
        <v>15.6</v>
      </c>
      <c r="I257" s="82">
        <v>15.8</v>
      </c>
      <c r="J257" s="32">
        <v>16.202397993708502</v>
      </c>
      <c r="K257" s="32">
        <v>6.4602983624860997</v>
      </c>
      <c r="L257" s="87">
        <v>11.34791919862138</v>
      </c>
      <c r="M257" s="119">
        <v>99</v>
      </c>
      <c r="N257" s="33">
        <v>44.714285714285701</v>
      </c>
      <c r="O257" s="114">
        <v>77.192150297619065</v>
      </c>
      <c r="P257" s="122">
        <v>1029.31917174727</v>
      </c>
      <c r="Q257" s="21">
        <v>1025.113393974</v>
      </c>
      <c r="R257" s="74">
        <v>1027.4301978890874</v>
      </c>
      <c r="S257" s="75">
        <v>3.7</v>
      </c>
      <c r="T257" s="65">
        <v>2.6500131731183902</v>
      </c>
      <c r="U257" s="25">
        <v>0.8</v>
      </c>
      <c r="V257" s="223" t="s">
        <v>229</v>
      </c>
      <c r="W257" s="225"/>
      <c r="X257" s="16">
        <v>0</v>
      </c>
      <c r="Y257" s="17">
        <v>0</v>
      </c>
      <c r="Z257" s="18">
        <v>0</v>
      </c>
      <c r="AA257" s="46">
        <v>0</v>
      </c>
      <c r="AB257" s="327" t="s">
        <v>250</v>
      </c>
      <c r="AC257" s="255"/>
    </row>
    <row r="258" spans="1:29" s="20" customFormat="1" x14ac:dyDescent="0.3">
      <c r="A258" s="434">
        <v>43721</v>
      </c>
      <c r="B258" s="43">
        <v>9.9</v>
      </c>
      <c r="C258" s="14">
        <v>24.3</v>
      </c>
      <c r="D258" s="14">
        <v>16</v>
      </c>
      <c r="E258" s="14">
        <v>24.9</v>
      </c>
      <c r="F258" s="14">
        <v>8.5</v>
      </c>
      <c r="G258" s="68">
        <f t="shared" si="3"/>
        <v>16.399999999999999</v>
      </c>
      <c r="H258" s="68">
        <f t="shared" si="2"/>
        <v>16.55</v>
      </c>
      <c r="I258" s="82">
        <v>16.2</v>
      </c>
      <c r="J258" s="32">
        <v>15.470356956421799</v>
      </c>
      <c r="K258" s="32">
        <v>7.1399869621274501</v>
      </c>
      <c r="L258" s="87">
        <v>11.876967875300242</v>
      </c>
      <c r="M258" s="119">
        <v>99</v>
      </c>
      <c r="N258" s="33">
        <v>45</v>
      </c>
      <c r="O258" s="114">
        <v>77.802703373015817</v>
      </c>
      <c r="P258" s="122">
        <v>1029.6447895492099</v>
      </c>
      <c r="Q258" s="21">
        <v>1026.0738883889201</v>
      </c>
      <c r="R258" s="74">
        <v>1028.021583713253</v>
      </c>
      <c r="S258" s="75">
        <v>3.1</v>
      </c>
      <c r="T258" s="65">
        <v>2.0625102526628973</v>
      </c>
      <c r="U258" s="25">
        <v>0.6</v>
      </c>
      <c r="V258" s="223" t="s">
        <v>232</v>
      </c>
      <c r="W258" s="226" t="s">
        <v>223</v>
      </c>
      <c r="X258" s="26">
        <v>0</v>
      </c>
      <c r="Y258" s="27">
        <v>0</v>
      </c>
      <c r="Z258" s="28">
        <v>0</v>
      </c>
      <c r="AA258" s="30">
        <v>0</v>
      </c>
      <c r="AB258" s="328" t="s">
        <v>250</v>
      </c>
      <c r="AC258" s="255"/>
    </row>
    <row r="259" spans="1:29" s="20" customFormat="1" x14ac:dyDescent="0.3">
      <c r="A259" s="434">
        <v>43722</v>
      </c>
      <c r="B259" s="43">
        <v>14.4</v>
      </c>
      <c r="C259" s="14">
        <v>18.8</v>
      </c>
      <c r="D259" s="14">
        <v>8</v>
      </c>
      <c r="E259" s="14">
        <v>20.6</v>
      </c>
      <c r="F259" s="14">
        <v>6.2</v>
      </c>
      <c r="G259" s="68">
        <f t="shared" si="3"/>
        <v>14.400000000000002</v>
      </c>
      <c r="H259" s="68">
        <f t="shared" si="2"/>
        <v>12.3</v>
      </c>
      <c r="I259" s="82">
        <v>14.5</v>
      </c>
      <c r="J259" s="32">
        <v>14.232013126342499</v>
      </c>
      <c r="K259" s="32">
        <v>3.8396765514438398</v>
      </c>
      <c r="L259" s="87">
        <v>8.5572098926854796</v>
      </c>
      <c r="M259" s="119">
        <v>99</v>
      </c>
      <c r="N259" s="33">
        <v>45</v>
      </c>
      <c r="O259" s="114">
        <v>72.870721726190496</v>
      </c>
      <c r="P259" s="122">
        <v>1032.0550776100599</v>
      </c>
      <c r="Q259" s="21">
        <v>1028.02397330843</v>
      </c>
      <c r="R259" s="74">
        <v>1030.2660830761067</v>
      </c>
      <c r="S259" s="75">
        <v>9.5</v>
      </c>
      <c r="T259" s="65">
        <v>5.2241331118314305</v>
      </c>
      <c r="U259" s="25">
        <v>2.1</v>
      </c>
      <c r="V259" s="223" t="s">
        <v>227</v>
      </c>
      <c r="W259" s="226"/>
      <c r="X259" s="26">
        <v>0</v>
      </c>
      <c r="Y259" s="27">
        <v>0</v>
      </c>
      <c r="Z259" s="28">
        <v>0</v>
      </c>
      <c r="AA259" s="30">
        <v>0</v>
      </c>
      <c r="AB259" s="328" t="s">
        <v>453</v>
      </c>
      <c r="AC259" s="255"/>
    </row>
    <row r="260" spans="1:29" s="20" customFormat="1" x14ac:dyDescent="0.3">
      <c r="A260" s="434">
        <v>43723</v>
      </c>
      <c r="B260" s="43">
        <v>4.9000000000000004</v>
      </c>
      <c r="C260" s="14">
        <v>21</v>
      </c>
      <c r="D260" s="14">
        <v>9.6999999999999993</v>
      </c>
      <c r="E260" s="14">
        <v>21.2</v>
      </c>
      <c r="F260" s="14">
        <v>2.6</v>
      </c>
      <c r="G260" s="68">
        <f t="shared" si="3"/>
        <v>18.599999999999998</v>
      </c>
      <c r="H260" s="68">
        <f t="shared" si="2"/>
        <v>11.324999999999999</v>
      </c>
      <c r="I260" s="82">
        <v>11.7</v>
      </c>
      <c r="J260" s="32">
        <v>10.1491464609433</v>
      </c>
      <c r="K260" s="32">
        <v>1.1270309599080199</v>
      </c>
      <c r="L260" s="87">
        <v>6.4081193153939164</v>
      </c>
      <c r="M260" s="119">
        <v>99</v>
      </c>
      <c r="N260" s="33">
        <v>41</v>
      </c>
      <c r="O260" s="114">
        <v>72.983914153896876</v>
      </c>
      <c r="P260" s="122">
        <v>1030.0613615145201</v>
      </c>
      <c r="Q260" s="21">
        <v>1020.07802271377</v>
      </c>
      <c r="R260" s="74">
        <v>1024.29340705098</v>
      </c>
      <c r="S260" s="75">
        <v>6.2</v>
      </c>
      <c r="T260" s="65">
        <v>4.6285944371447911</v>
      </c>
      <c r="U260" s="25">
        <v>1.2</v>
      </c>
      <c r="V260" s="223" t="s">
        <v>226</v>
      </c>
      <c r="W260" s="226"/>
      <c r="X260" s="26">
        <v>0</v>
      </c>
      <c r="Y260" s="27">
        <v>0</v>
      </c>
      <c r="Z260" s="28">
        <v>0</v>
      </c>
      <c r="AA260" s="30">
        <v>0</v>
      </c>
      <c r="AB260" s="328" t="s">
        <v>454</v>
      </c>
      <c r="AC260" s="255"/>
    </row>
    <row r="261" spans="1:29" s="20" customFormat="1" x14ac:dyDescent="0.3">
      <c r="A261" s="434">
        <v>43724</v>
      </c>
      <c r="B261" s="43">
        <v>6.4</v>
      </c>
      <c r="C261" s="14">
        <v>21.9</v>
      </c>
      <c r="D261" s="14">
        <v>16.2</v>
      </c>
      <c r="E261" s="14">
        <v>22.2</v>
      </c>
      <c r="F261" s="14">
        <v>5</v>
      </c>
      <c r="G261" s="68">
        <f t="shared" si="3"/>
        <v>17.2</v>
      </c>
      <c r="H261" s="68">
        <f t="shared" si="2"/>
        <v>15.174999999999999</v>
      </c>
      <c r="I261" s="82">
        <v>13</v>
      </c>
      <c r="J261" s="32">
        <v>14.643307392018601</v>
      </c>
      <c r="K261" s="32">
        <v>3.9631404281904699</v>
      </c>
      <c r="L261" s="87">
        <v>10.393985293120245</v>
      </c>
      <c r="M261" s="119">
        <v>99</v>
      </c>
      <c r="N261" s="33">
        <v>52.428571428571402</v>
      </c>
      <c r="O261" s="114">
        <v>79.716393849206341</v>
      </c>
      <c r="P261" s="122">
        <v>1020.12168237061</v>
      </c>
      <c r="Q261" s="21">
        <v>1013.76185458613</v>
      </c>
      <c r="R261" s="74">
        <v>1016.6868207446182</v>
      </c>
      <c r="S261" s="75">
        <v>5.0999999999999996</v>
      </c>
      <c r="T261" s="65">
        <v>3.2143016924616528</v>
      </c>
      <c r="U261" s="25">
        <v>0.9</v>
      </c>
      <c r="V261" s="223" t="s">
        <v>229</v>
      </c>
      <c r="W261" s="226" t="s">
        <v>223</v>
      </c>
      <c r="X261" s="26">
        <v>0</v>
      </c>
      <c r="Y261" s="27">
        <v>0</v>
      </c>
      <c r="Z261" s="28">
        <v>0</v>
      </c>
      <c r="AA261" s="30">
        <v>0</v>
      </c>
      <c r="AB261" s="328" t="s">
        <v>439</v>
      </c>
      <c r="AC261" s="255"/>
    </row>
    <row r="262" spans="1:29" s="20" customFormat="1" x14ac:dyDescent="0.3">
      <c r="A262" s="434">
        <v>43725</v>
      </c>
      <c r="B262" s="43">
        <v>12</v>
      </c>
      <c r="C262" s="14">
        <v>16.600000000000001</v>
      </c>
      <c r="D262" s="14">
        <v>9.5</v>
      </c>
      <c r="E262" s="14">
        <v>17.7</v>
      </c>
      <c r="F262" s="14">
        <v>7.1</v>
      </c>
      <c r="G262" s="68">
        <f t="shared" si="3"/>
        <v>10.6</v>
      </c>
      <c r="H262" s="68">
        <f t="shared" si="2"/>
        <v>11.9</v>
      </c>
      <c r="I262" s="82">
        <v>13.3</v>
      </c>
      <c r="J262" s="32">
        <v>11.656353916421301</v>
      </c>
      <c r="K262" s="32">
        <v>6.0451586113917797</v>
      </c>
      <c r="L262" s="87">
        <v>9.7881481955161362</v>
      </c>
      <c r="M262" s="119">
        <v>94</v>
      </c>
      <c r="N262" s="33">
        <v>61.428571428571402</v>
      </c>
      <c r="O262" s="114">
        <v>80.747891865079325</v>
      </c>
      <c r="P262" s="122">
        <v>1015.06439372444</v>
      </c>
      <c r="Q262" s="21">
        <v>1009.74504846094</v>
      </c>
      <c r="R262" s="74">
        <v>1012.5034007186073</v>
      </c>
      <c r="S262" s="75">
        <v>10.9</v>
      </c>
      <c r="T262" s="65">
        <v>4.4785936914965694</v>
      </c>
      <c r="U262" s="25">
        <v>1.3</v>
      </c>
      <c r="V262" s="223" t="s">
        <v>229</v>
      </c>
      <c r="W262" s="226"/>
      <c r="X262" s="26">
        <v>0</v>
      </c>
      <c r="Y262" s="27">
        <v>0</v>
      </c>
      <c r="Z262" s="28">
        <v>0</v>
      </c>
      <c r="AA262" s="30">
        <v>0</v>
      </c>
      <c r="AB262" s="328" t="s">
        <v>248</v>
      </c>
      <c r="AC262" s="255"/>
    </row>
    <row r="263" spans="1:29" s="20" customFormat="1" x14ac:dyDescent="0.3">
      <c r="A263" s="434">
        <v>43726</v>
      </c>
      <c r="B263" s="43">
        <v>9.4</v>
      </c>
      <c r="C263" s="14">
        <v>16.5</v>
      </c>
      <c r="D263" s="14">
        <v>4.4000000000000004</v>
      </c>
      <c r="E263" s="14">
        <v>17.7</v>
      </c>
      <c r="F263" s="14">
        <v>3.1</v>
      </c>
      <c r="G263" s="68">
        <f t="shared" si="3"/>
        <v>14.6</v>
      </c>
      <c r="H263" s="68">
        <f t="shared" si="2"/>
        <v>8.6750000000000007</v>
      </c>
      <c r="I263" s="82">
        <v>10.199999999999999</v>
      </c>
      <c r="J263" s="32">
        <v>7.0026030062244597</v>
      </c>
      <c r="K263" s="32">
        <v>1.19101396395656</v>
      </c>
      <c r="L263" s="87">
        <v>3.4429324593317387</v>
      </c>
      <c r="M263" s="119">
        <v>93</v>
      </c>
      <c r="N263" s="33">
        <v>41.714285714285701</v>
      </c>
      <c r="O263" s="114">
        <v>66.273189484126988</v>
      </c>
      <c r="P263" s="122">
        <v>1022.11546672826</v>
      </c>
      <c r="Q263" s="21">
        <v>1012.37926466339</v>
      </c>
      <c r="R263" s="74">
        <v>1018.460194052156</v>
      </c>
      <c r="S263" s="75">
        <v>8.8000000000000007</v>
      </c>
      <c r="T263" s="65">
        <v>5.687528272494653</v>
      </c>
      <c r="U263" s="25">
        <v>2.2000000000000002</v>
      </c>
      <c r="V263" s="223" t="s">
        <v>234</v>
      </c>
      <c r="W263" s="226"/>
      <c r="X263" s="26">
        <v>0</v>
      </c>
      <c r="Y263" s="27">
        <v>0</v>
      </c>
      <c r="Z263" s="28">
        <v>0</v>
      </c>
      <c r="AA263" s="30">
        <v>0</v>
      </c>
      <c r="AB263" s="328" t="s">
        <v>251</v>
      </c>
      <c r="AC263" s="255"/>
    </row>
    <row r="264" spans="1:29" s="20" customFormat="1" x14ac:dyDescent="0.3">
      <c r="A264" s="434">
        <v>43727</v>
      </c>
      <c r="B264" s="43">
        <v>4.0999999999999996</v>
      </c>
      <c r="C264" s="14">
        <v>13.9</v>
      </c>
      <c r="D264" s="14">
        <v>6.8</v>
      </c>
      <c r="E264" s="14">
        <v>16.7</v>
      </c>
      <c r="F264" s="14">
        <v>2.5</v>
      </c>
      <c r="G264" s="68">
        <f t="shared" si="3"/>
        <v>14.2</v>
      </c>
      <c r="H264" s="68">
        <f t="shared" si="2"/>
        <v>7.9</v>
      </c>
      <c r="I264" s="82">
        <v>8.5</v>
      </c>
      <c r="J264" s="32">
        <v>7.35007951581062</v>
      </c>
      <c r="K264" s="32">
        <v>1.19429495225097</v>
      </c>
      <c r="L264" s="87">
        <v>4.2506050127218193</v>
      </c>
      <c r="M264" s="119">
        <v>98</v>
      </c>
      <c r="N264" s="33">
        <v>45.875</v>
      </c>
      <c r="O264" s="114">
        <v>76.885540674603192</v>
      </c>
      <c r="P264" s="122">
        <v>1025.6518533615099</v>
      </c>
      <c r="Q264" s="21">
        <v>1021.51878819296</v>
      </c>
      <c r="R264" s="74">
        <v>1023.4032925904454</v>
      </c>
      <c r="S264" s="75">
        <v>7.1</v>
      </c>
      <c r="T264" s="65">
        <v>4.4571650135468328</v>
      </c>
      <c r="U264" s="25">
        <v>1.3</v>
      </c>
      <c r="V264" s="223" t="s">
        <v>227</v>
      </c>
      <c r="W264" s="226" t="s">
        <v>240</v>
      </c>
      <c r="X264" s="26">
        <v>13.5</v>
      </c>
      <c r="Y264" s="27">
        <v>1.2</v>
      </c>
      <c r="Z264" s="28">
        <v>0</v>
      </c>
      <c r="AA264" s="30">
        <v>0</v>
      </c>
      <c r="AB264" s="328" t="s">
        <v>258</v>
      </c>
      <c r="AC264" s="255"/>
    </row>
    <row r="265" spans="1:29" s="20" customFormat="1" x14ac:dyDescent="0.3">
      <c r="A265" s="434">
        <v>43728</v>
      </c>
      <c r="B265" s="43">
        <v>1.3</v>
      </c>
      <c r="C265" s="14">
        <v>13.7</v>
      </c>
      <c r="D265" s="14">
        <v>8.3000000000000007</v>
      </c>
      <c r="E265" s="14">
        <v>16.899999999999999</v>
      </c>
      <c r="F265" s="14">
        <v>0.4</v>
      </c>
      <c r="G265" s="68">
        <f t="shared" si="3"/>
        <v>16.5</v>
      </c>
      <c r="H265" s="68">
        <f t="shared" si="2"/>
        <v>7.9</v>
      </c>
      <c r="I265" s="82">
        <v>8.1999999999999993</v>
      </c>
      <c r="J265" s="32">
        <v>8.47820843508247</v>
      </c>
      <c r="K265" s="32">
        <v>-1.0462029418026799</v>
      </c>
      <c r="L265" s="87">
        <v>3.9359164729807978</v>
      </c>
      <c r="M265" s="119">
        <v>99</v>
      </c>
      <c r="N265" s="33">
        <v>43.142857142857203</v>
      </c>
      <c r="O265" s="114">
        <v>76.095920138888886</v>
      </c>
      <c r="P265" s="122">
        <v>1026.68511044457</v>
      </c>
      <c r="Q265" s="21">
        <v>1024.90965232843</v>
      </c>
      <c r="R265" s="74">
        <v>1025.7042473169408</v>
      </c>
      <c r="S265" s="75">
        <v>9.9</v>
      </c>
      <c r="T265" s="65">
        <v>5.5000273404343893</v>
      </c>
      <c r="U265" s="25">
        <v>1.4</v>
      </c>
      <c r="V265" s="223" t="s">
        <v>229</v>
      </c>
      <c r="W265" s="226" t="s">
        <v>455</v>
      </c>
      <c r="X265" s="26">
        <v>0</v>
      </c>
      <c r="Y265" s="27">
        <v>0</v>
      </c>
      <c r="Z265" s="28">
        <v>0</v>
      </c>
      <c r="AA265" s="30">
        <v>0</v>
      </c>
      <c r="AB265" s="328" t="s">
        <v>258</v>
      </c>
      <c r="AC265" s="255"/>
    </row>
    <row r="266" spans="1:29" s="20" customFormat="1" x14ac:dyDescent="0.3">
      <c r="A266" s="434">
        <v>43729</v>
      </c>
      <c r="B266" s="43">
        <v>5.5</v>
      </c>
      <c r="C266" s="14">
        <v>18</v>
      </c>
      <c r="D266" s="14">
        <v>6.3</v>
      </c>
      <c r="E266" s="14">
        <v>18.899999999999999</v>
      </c>
      <c r="F266" s="14">
        <v>2.9</v>
      </c>
      <c r="G266" s="68">
        <f t="shared" si="3"/>
        <v>15.999999999999998</v>
      </c>
      <c r="H266" s="68">
        <f t="shared" si="2"/>
        <v>9.0250000000000004</v>
      </c>
      <c r="I266" s="82">
        <v>10.1</v>
      </c>
      <c r="J266" s="32">
        <v>7.61255824119743</v>
      </c>
      <c r="K266" s="32">
        <v>1.57737534616297</v>
      </c>
      <c r="L266" s="87">
        <v>4.4469781474866821</v>
      </c>
      <c r="M266" s="119">
        <v>99</v>
      </c>
      <c r="N266" s="33">
        <v>37.285714285714299</v>
      </c>
      <c r="O266" s="114">
        <v>72.610925099206355</v>
      </c>
      <c r="P266" s="122">
        <v>1026.83063930495</v>
      </c>
      <c r="Q266" s="21">
        <v>1022.85767492305</v>
      </c>
      <c r="R266" s="74">
        <v>1024.9370050111791</v>
      </c>
      <c r="S266" s="75">
        <v>6.1</v>
      </c>
      <c r="T266" s="65">
        <v>4.1714493075502359</v>
      </c>
      <c r="U266" s="25">
        <v>1.4</v>
      </c>
      <c r="V266" s="223" t="s">
        <v>226</v>
      </c>
      <c r="W266" s="226"/>
      <c r="X266" s="26">
        <v>0</v>
      </c>
      <c r="Y266" s="27">
        <v>0</v>
      </c>
      <c r="Z266" s="28">
        <v>0</v>
      </c>
      <c r="AA266" s="30">
        <v>0</v>
      </c>
      <c r="AB266" s="328" t="s">
        <v>456</v>
      </c>
      <c r="AC266" s="255"/>
    </row>
    <row r="267" spans="1:29" s="20" customFormat="1" x14ac:dyDescent="0.3">
      <c r="A267" s="434">
        <v>43730</v>
      </c>
      <c r="B267" s="43">
        <v>2.8</v>
      </c>
      <c r="C267" s="14">
        <v>19.5</v>
      </c>
      <c r="D267" s="14">
        <v>6.9</v>
      </c>
      <c r="E267" s="14">
        <v>19.899999999999999</v>
      </c>
      <c r="F267" s="14">
        <v>1.5</v>
      </c>
      <c r="G267" s="68">
        <f t="shared" si="3"/>
        <v>18.399999999999999</v>
      </c>
      <c r="H267" s="68">
        <f t="shared" si="2"/>
        <v>9.0250000000000004</v>
      </c>
      <c r="I267" s="82">
        <v>9.8000000000000007</v>
      </c>
      <c r="J267" s="32">
        <v>8.2868883674984009</v>
      </c>
      <c r="K267" s="32">
        <v>0.20681084275825601</v>
      </c>
      <c r="L267" s="87">
        <v>4.2381970107136855</v>
      </c>
      <c r="M267" s="119">
        <v>99</v>
      </c>
      <c r="N267" s="33">
        <v>39.857142857142897</v>
      </c>
      <c r="O267" s="114">
        <v>73.089347718253961</v>
      </c>
      <c r="P267" s="122">
        <v>1023.29062881741</v>
      </c>
      <c r="Q267" s="21">
        <v>1016.1486256826</v>
      </c>
      <c r="R267" s="74">
        <v>1019.4187103474609</v>
      </c>
      <c r="S267" s="75">
        <v>7.8</v>
      </c>
      <c r="T267" s="65">
        <v>4.9857390696405277</v>
      </c>
      <c r="U267" s="25">
        <v>1.5</v>
      </c>
      <c r="V267" s="223" t="s">
        <v>233</v>
      </c>
      <c r="W267" s="226"/>
      <c r="X267" s="26">
        <v>0</v>
      </c>
      <c r="Y267" s="27">
        <v>0</v>
      </c>
      <c r="Z267" s="28">
        <v>0</v>
      </c>
      <c r="AA267" s="30">
        <v>0</v>
      </c>
      <c r="AB267" s="328" t="s">
        <v>457</v>
      </c>
      <c r="AC267" s="255"/>
    </row>
    <row r="268" spans="1:29" s="20" customFormat="1" x14ac:dyDescent="0.3">
      <c r="A268" s="434">
        <v>43731</v>
      </c>
      <c r="B268" s="43">
        <v>3</v>
      </c>
      <c r="C268" s="14">
        <v>16.899999999999999</v>
      </c>
      <c r="D268" s="14">
        <v>9.5</v>
      </c>
      <c r="E268" s="14">
        <v>18.5</v>
      </c>
      <c r="F268" s="14">
        <v>1.2</v>
      </c>
      <c r="G268" s="68">
        <f t="shared" si="3"/>
        <v>17.3</v>
      </c>
      <c r="H268" s="68">
        <f t="shared" si="2"/>
        <v>9.7249999999999996</v>
      </c>
      <c r="I268" s="82">
        <v>9.1999999999999993</v>
      </c>
      <c r="J268" s="32">
        <v>12.2357178405941</v>
      </c>
      <c r="K268" s="32">
        <v>-0.40926431948271402</v>
      </c>
      <c r="L268" s="87">
        <v>6.3302068122067521</v>
      </c>
      <c r="M268" s="119">
        <v>99</v>
      </c>
      <c r="N268" s="33">
        <v>60</v>
      </c>
      <c r="O268" s="114">
        <v>82.338231646825434</v>
      </c>
      <c r="P268" s="122">
        <v>1016.3523735203501</v>
      </c>
      <c r="Q268" s="21">
        <v>1013.8673677496801</v>
      </c>
      <c r="R268" s="74">
        <v>1015.1863790478201</v>
      </c>
      <c r="S268" s="75">
        <v>2</v>
      </c>
      <c r="T268" s="65">
        <v>1.3187565554905194</v>
      </c>
      <c r="U268" s="25">
        <v>0.5</v>
      </c>
      <c r="V268" s="223" t="s">
        <v>227</v>
      </c>
      <c r="W268" s="226"/>
      <c r="X268" s="26">
        <v>0</v>
      </c>
      <c r="Y268" s="27">
        <v>0</v>
      </c>
      <c r="Z268" s="28">
        <v>0</v>
      </c>
      <c r="AA268" s="30">
        <v>0</v>
      </c>
      <c r="AB268" s="328" t="s">
        <v>458</v>
      </c>
      <c r="AC268" s="255"/>
    </row>
    <row r="269" spans="1:29" s="20" customFormat="1" x14ac:dyDescent="0.3">
      <c r="A269" s="434">
        <v>43732</v>
      </c>
      <c r="B269" s="43">
        <v>5.5</v>
      </c>
      <c r="C269" s="14">
        <v>22.9</v>
      </c>
      <c r="D269" s="14">
        <v>10.5</v>
      </c>
      <c r="E269" s="14">
        <v>23.1</v>
      </c>
      <c r="F269" s="14">
        <v>4.0999999999999996</v>
      </c>
      <c r="G269" s="68">
        <f t="shared" si="3"/>
        <v>19</v>
      </c>
      <c r="H269" s="68">
        <f t="shared" si="2"/>
        <v>12.35</v>
      </c>
      <c r="I269" s="82">
        <v>12.4</v>
      </c>
      <c r="J269" s="32">
        <v>12.667823207477401</v>
      </c>
      <c r="K269" s="32">
        <v>2.76418580645809</v>
      </c>
      <c r="L269" s="87">
        <v>8.4012793238220311</v>
      </c>
      <c r="M269" s="119">
        <v>99</v>
      </c>
      <c r="N269" s="33">
        <v>49.714285714285701</v>
      </c>
      <c r="O269" s="114">
        <v>78.13876488095238</v>
      </c>
      <c r="P269" s="122">
        <v>1014.76604728465</v>
      </c>
      <c r="Q269" s="21">
        <v>1011.4041709029</v>
      </c>
      <c r="R269" s="74">
        <v>1012.9288181846047</v>
      </c>
      <c r="S269" s="75">
        <v>5.0999999999999996</v>
      </c>
      <c r="T269" s="65">
        <v>3.7125184547932077</v>
      </c>
      <c r="U269" s="25">
        <v>1</v>
      </c>
      <c r="V269" s="223" t="s">
        <v>227</v>
      </c>
      <c r="W269" s="226" t="s">
        <v>240</v>
      </c>
      <c r="X269" s="26">
        <v>2.2000000000000002</v>
      </c>
      <c r="Y269" s="27">
        <v>1.2</v>
      </c>
      <c r="Z269" s="28">
        <v>0</v>
      </c>
      <c r="AA269" s="30">
        <v>0</v>
      </c>
      <c r="AB269" s="328" t="s">
        <v>437</v>
      </c>
      <c r="AC269" s="255"/>
    </row>
    <row r="270" spans="1:29" s="20" customFormat="1" x14ac:dyDescent="0.3">
      <c r="A270" s="434">
        <v>43733</v>
      </c>
      <c r="B270" s="43">
        <v>9.3000000000000007</v>
      </c>
      <c r="C270" s="14">
        <v>15.2</v>
      </c>
      <c r="D270" s="14">
        <v>13.4</v>
      </c>
      <c r="E270" s="14">
        <v>15.6</v>
      </c>
      <c r="F270" s="14">
        <v>7.5</v>
      </c>
      <c r="G270" s="68">
        <f t="shared" si="3"/>
        <v>8.1</v>
      </c>
      <c r="H270" s="68">
        <f t="shared" si="2"/>
        <v>12.824999999999999</v>
      </c>
      <c r="I270" s="82">
        <v>11.6</v>
      </c>
      <c r="J270" s="32">
        <v>14.844841604123699</v>
      </c>
      <c r="K270" s="32">
        <v>6.4828657139996801</v>
      </c>
      <c r="L270" s="87">
        <v>11.22321300150022</v>
      </c>
      <c r="M270" s="119">
        <v>99</v>
      </c>
      <c r="N270" s="33">
        <v>89</v>
      </c>
      <c r="O270" s="114">
        <v>95.041976686507937</v>
      </c>
      <c r="P270" s="122">
        <v>1011.4041709081</v>
      </c>
      <c r="Q270" s="21">
        <v>1008.97733726144</v>
      </c>
      <c r="R270" s="74">
        <v>1010.2715903054107</v>
      </c>
      <c r="S270" s="75">
        <v>6.1</v>
      </c>
      <c r="T270" s="65">
        <v>3.6732325452186942</v>
      </c>
      <c r="U270" s="25">
        <v>0.9</v>
      </c>
      <c r="V270" s="223" t="s">
        <v>233</v>
      </c>
      <c r="W270" s="226" t="s">
        <v>240</v>
      </c>
      <c r="X270" s="26">
        <v>10</v>
      </c>
      <c r="Y270" s="27">
        <v>6.9</v>
      </c>
      <c r="Z270" s="28">
        <v>0</v>
      </c>
      <c r="AA270" s="30">
        <v>0</v>
      </c>
      <c r="AB270" s="328" t="s">
        <v>276</v>
      </c>
      <c r="AC270" s="255"/>
    </row>
    <row r="271" spans="1:29" s="20" customFormat="1" x14ac:dyDescent="0.3">
      <c r="A271" s="434">
        <v>43734</v>
      </c>
      <c r="B271" s="43">
        <v>14.1</v>
      </c>
      <c r="C271" s="14">
        <v>19.3</v>
      </c>
      <c r="D271" s="14">
        <v>11.8</v>
      </c>
      <c r="E271" s="14">
        <v>20</v>
      </c>
      <c r="F271" s="14">
        <v>11.6</v>
      </c>
      <c r="G271" s="68">
        <f t="shared" si="3"/>
        <v>8.4</v>
      </c>
      <c r="H271" s="68">
        <f t="shared" si="2"/>
        <v>14.25</v>
      </c>
      <c r="I271" s="82">
        <v>14.6</v>
      </c>
      <c r="J271" s="32">
        <v>15.2147259211704</v>
      </c>
      <c r="K271" s="32">
        <v>10.7468373854879</v>
      </c>
      <c r="L271" s="87">
        <v>12.629846460533763</v>
      </c>
      <c r="M271" s="119">
        <v>99</v>
      </c>
      <c r="N271" s="33">
        <v>60.571428571428598</v>
      </c>
      <c r="O271" s="114">
        <v>89.350942460317455</v>
      </c>
      <c r="P271" s="122">
        <v>1015.35728228651</v>
      </c>
      <c r="Q271" s="21">
        <v>1009.11923664363</v>
      </c>
      <c r="R271" s="74">
        <v>1011.9969163625758</v>
      </c>
      <c r="S271" s="75">
        <v>5.8</v>
      </c>
      <c r="T271" s="65">
        <v>4.1553777990879306</v>
      </c>
      <c r="U271" s="25">
        <v>0.6</v>
      </c>
      <c r="V271" s="223" t="s">
        <v>234</v>
      </c>
      <c r="W271" s="226" t="s">
        <v>350</v>
      </c>
      <c r="X271" s="26">
        <v>13.5</v>
      </c>
      <c r="Y271" s="27">
        <v>3.4</v>
      </c>
      <c r="Z271" s="28">
        <v>0</v>
      </c>
      <c r="AA271" s="30">
        <v>0</v>
      </c>
      <c r="AB271" s="328" t="s">
        <v>459</v>
      </c>
      <c r="AC271" s="255"/>
    </row>
    <row r="272" spans="1:29" s="20" customFormat="1" x14ac:dyDescent="0.3">
      <c r="A272" s="434">
        <v>43735</v>
      </c>
      <c r="B272" s="43">
        <v>10.4</v>
      </c>
      <c r="C272" s="14">
        <v>21.1</v>
      </c>
      <c r="D272" s="14">
        <v>16.899999999999999</v>
      </c>
      <c r="E272" s="14">
        <v>21.1</v>
      </c>
      <c r="F272" s="14">
        <v>10.199999999999999</v>
      </c>
      <c r="G272" s="68">
        <f t="shared" si="3"/>
        <v>10.900000000000002</v>
      </c>
      <c r="H272" s="68">
        <f t="shared" si="2"/>
        <v>16.324999999999999</v>
      </c>
      <c r="I272" s="82">
        <v>15.1</v>
      </c>
      <c r="J272" s="32">
        <v>13.7783953796642</v>
      </c>
      <c r="K272" s="32">
        <v>10.0496343608836</v>
      </c>
      <c r="L272" s="87">
        <v>11.509406371069954</v>
      </c>
      <c r="M272" s="119">
        <v>99</v>
      </c>
      <c r="N272" s="33">
        <v>52.875</v>
      </c>
      <c r="O272" s="114">
        <v>79.908544146825378</v>
      </c>
      <c r="P272" s="122">
        <v>1017.02182967541</v>
      </c>
      <c r="Q272" s="21">
        <v>1014.37310273861</v>
      </c>
      <c r="R272" s="74">
        <v>1015.5185442630277</v>
      </c>
      <c r="S272" s="75">
        <v>6.5</v>
      </c>
      <c r="T272" s="65">
        <v>4.2143066634497224</v>
      </c>
      <c r="U272" s="25">
        <v>1.1000000000000001</v>
      </c>
      <c r="V272" s="223" t="s">
        <v>230</v>
      </c>
      <c r="W272" s="226"/>
      <c r="X272" s="26">
        <v>0</v>
      </c>
      <c r="Y272" s="27">
        <v>0</v>
      </c>
      <c r="Z272" s="28">
        <v>0</v>
      </c>
      <c r="AA272" s="30">
        <v>0</v>
      </c>
      <c r="AB272" s="328" t="s">
        <v>368</v>
      </c>
      <c r="AC272" s="255"/>
    </row>
    <row r="273" spans="1:29" s="20" customFormat="1" x14ac:dyDescent="0.3">
      <c r="A273" s="434">
        <v>43736</v>
      </c>
      <c r="B273" s="43">
        <v>14.7</v>
      </c>
      <c r="C273" s="14">
        <v>18.5</v>
      </c>
      <c r="D273" s="14">
        <v>12.1</v>
      </c>
      <c r="E273" s="14">
        <v>19.7</v>
      </c>
      <c r="F273" s="14">
        <v>9.5</v>
      </c>
      <c r="G273" s="68">
        <f t="shared" si="3"/>
        <v>10.199999999999999</v>
      </c>
      <c r="H273" s="68">
        <f t="shared" si="2"/>
        <v>14.350000000000001</v>
      </c>
      <c r="I273" s="82">
        <v>15.1</v>
      </c>
      <c r="J273" s="32">
        <v>14.1947898051171</v>
      </c>
      <c r="K273" s="32">
        <v>8.2420292903405201</v>
      </c>
      <c r="L273" s="87">
        <v>11.928969827799945</v>
      </c>
      <c r="M273" s="119">
        <v>96</v>
      </c>
      <c r="N273" s="33">
        <v>66.285714285714306</v>
      </c>
      <c r="O273" s="114">
        <v>84.079261739417973</v>
      </c>
      <c r="P273" s="122">
        <v>1016.2796064619999</v>
      </c>
      <c r="Q273" s="21">
        <v>1013.57265845599</v>
      </c>
      <c r="R273" s="74">
        <v>1015.2134166446924</v>
      </c>
      <c r="S273" s="75">
        <v>6.8</v>
      </c>
      <c r="T273" s="65">
        <v>3.8143046750544998</v>
      </c>
      <c r="U273" s="25">
        <v>1.3</v>
      </c>
      <c r="V273" s="223" t="s">
        <v>230</v>
      </c>
      <c r="W273" s="226" t="s">
        <v>350</v>
      </c>
      <c r="X273" s="26">
        <v>4.5</v>
      </c>
      <c r="Y273" s="27">
        <v>4.3</v>
      </c>
      <c r="Z273" s="28">
        <v>0</v>
      </c>
      <c r="AA273" s="30">
        <v>0</v>
      </c>
      <c r="AB273" s="328" t="s">
        <v>460</v>
      </c>
      <c r="AC273" s="255"/>
    </row>
    <row r="274" spans="1:29" s="20" customFormat="1" x14ac:dyDescent="0.3">
      <c r="A274" s="434">
        <v>43737</v>
      </c>
      <c r="B274" s="43">
        <v>9.9</v>
      </c>
      <c r="C274" s="14">
        <v>15.7</v>
      </c>
      <c r="D274" s="14">
        <v>16.2</v>
      </c>
      <c r="E274" s="14">
        <v>18</v>
      </c>
      <c r="F274" s="14">
        <v>8.8000000000000007</v>
      </c>
      <c r="G274" s="68">
        <f t="shared" si="3"/>
        <v>9.1999999999999993</v>
      </c>
      <c r="H274" s="68">
        <f t="shared" si="2"/>
        <v>14.5</v>
      </c>
      <c r="I274" s="82">
        <v>13.5</v>
      </c>
      <c r="J274" s="32">
        <v>12.488626592191601</v>
      </c>
      <c r="K274" s="32">
        <v>8.3997918516518908</v>
      </c>
      <c r="L274" s="87">
        <v>10.784805135883403</v>
      </c>
      <c r="M274" s="119">
        <v>99</v>
      </c>
      <c r="N274" s="33">
        <v>66.285714285714306</v>
      </c>
      <c r="O274" s="114">
        <v>83.376508763227477</v>
      </c>
      <c r="P274" s="122">
        <v>1016.19228595789</v>
      </c>
      <c r="Q274" s="21">
        <v>1005.81550945629</v>
      </c>
      <c r="R274" s="74">
        <v>1012.5523823506758</v>
      </c>
      <c r="S274" s="75">
        <v>9.5</v>
      </c>
      <c r="T274" s="65">
        <v>6.0893159840523614</v>
      </c>
      <c r="U274" s="25">
        <v>2.2000000000000002</v>
      </c>
      <c r="V274" s="223" t="s">
        <v>230</v>
      </c>
      <c r="W274" s="226" t="s">
        <v>240</v>
      </c>
      <c r="X274" s="26">
        <v>1.1000000000000001</v>
      </c>
      <c r="Y274" s="27">
        <v>0.2</v>
      </c>
      <c r="Z274" s="28">
        <v>0</v>
      </c>
      <c r="AA274" s="30">
        <v>0</v>
      </c>
      <c r="AB274" s="328" t="s">
        <v>288</v>
      </c>
      <c r="AC274" s="255"/>
    </row>
    <row r="275" spans="1:29" s="322" customFormat="1" ht="15" thickBot="1" x14ac:dyDescent="0.35">
      <c r="A275" s="435">
        <v>43738</v>
      </c>
      <c r="B275" s="44">
        <v>15.6</v>
      </c>
      <c r="C275" s="22">
        <v>22.2</v>
      </c>
      <c r="D275" s="22">
        <v>14.5</v>
      </c>
      <c r="E275" s="22">
        <v>24</v>
      </c>
      <c r="F275" s="22">
        <v>13</v>
      </c>
      <c r="G275" s="320">
        <f t="shared" si="3"/>
        <v>11</v>
      </c>
      <c r="H275" s="320">
        <f t="shared" si="2"/>
        <v>16.7</v>
      </c>
      <c r="I275" s="83">
        <v>17.7</v>
      </c>
      <c r="J275" s="22">
        <v>14.342656611378199</v>
      </c>
      <c r="K275" s="22">
        <v>5.0612755900274502</v>
      </c>
      <c r="L275" s="83">
        <v>9.8902511663124741</v>
      </c>
      <c r="M275" s="89">
        <v>85</v>
      </c>
      <c r="N275" s="71">
        <v>36</v>
      </c>
      <c r="O275" s="85">
        <v>63.825830853174566</v>
      </c>
      <c r="P275" s="123">
        <v>1011.2440805638799</v>
      </c>
      <c r="Q275" s="72">
        <v>1000.63425620061</v>
      </c>
      <c r="R275" s="73">
        <v>1004.625989856864</v>
      </c>
      <c r="S275" s="77">
        <v>12.2</v>
      </c>
      <c r="T275" s="67">
        <v>7.8357532369565419</v>
      </c>
      <c r="U275" s="45">
        <v>3.4</v>
      </c>
      <c r="V275" s="227" t="s">
        <v>230</v>
      </c>
      <c r="W275" s="228" t="s">
        <v>223</v>
      </c>
      <c r="X275" s="47">
        <v>0</v>
      </c>
      <c r="Y275" s="48">
        <v>0</v>
      </c>
      <c r="Z275" s="49">
        <v>0</v>
      </c>
      <c r="AA275" s="50">
        <v>0</v>
      </c>
      <c r="AB275" s="329" t="s">
        <v>304</v>
      </c>
      <c r="AC275" s="321"/>
    </row>
    <row r="276" spans="1:29" s="37" customFormat="1" x14ac:dyDescent="0.3">
      <c r="A276" s="42">
        <v>43739</v>
      </c>
      <c r="B276" s="79">
        <v>7.2</v>
      </c>
      <c r="C276" s="32">
        <v>19.899999999999999</v>
      </c>
      <c r="D276" s="32">
        <v>16.7</v>
      </c>
      <c r="E276" s="32">
        <v>20.3</v>
      </c>
      <c r="F276" s="32">
        <v>5.8</v>
      </c>
      <c r="G276" s="80">
        <f t="shared" si="3"/>
        <v>14.5</v>
      </c>
      <c r="H276" s="80">
        <f t="shared" si="2"/>
        <v>15.125</v>
      </c>
      <c r="I276" s="87">
        <v>14.5</v>
      </c>
      <c r="J276" s="32">
        <v>9.8801494230898701</v>
      </c>
      <c r="K276" s="32">
        <v>4.7563083621085998</v>
      </c>
      <c r="L276" s="87">
        <v>7.55052536195823</v>
      </c>
      <c r="M276" s="119">
        <v>97</v>
      </c>
      <c r="N276" s="33">
        <v>40</v>
      </c>
      <c r="O276" s="114">
        <v>64.429439484126959</v>
      </c>
      <c r="P276" s="124">
        <v>1013.38346222742</v>
      </c>
      <c r="Q276" s="34">
        <v>1008.18779322005</v>
      </c>
      <c r="R276" s="74">
        <v>1010.8069088809057</v>
      </c>
      <c r="S276" s="116">
        <v>10.9</v>
      </c>
      <c r="T276" s="115">
        <v>7.4562870649298052</v>
      </c>
      <c r="U276" s="35">
        <v>2.8</v>
      </c>
      <c r="V276" s="221" t="s">
        <v>230</v>
      </c>
      <c r="W276" s="229"/>
      <c r="X276" s="109">
        <v>0</v>
      </c>
      <c r="Y276" s="110">
        <v>0</v>
      </c>
      <c r="Z276" s="111">
        <v>0</v>
      </c>
      <c r="AA276" s="117">
        <v>0</v>
      </c>
      <c r="AB276" s="326" t="s">
        <v>318</v>
      </c>
      <c r="AC276" s="36"/>
    </row>
    <row r="277" spans="1:29" s="20" customFormat="1" x14ac:dyDescent="0.3">
      <c r="A277" s="42">
        <v>43740</v>
      </c>
      <c r="B277" s="43">
        <v>9.6999999999999993</v>
      </c>
      <c r="C277" s="14">
        <v>20.6</v>
      </c>
      <c r="D277" s="14">
        <v>14.6</v>
      </c>
      <c r="E277" s="14">
        <v>21.9</v>
      </c>
      <c r="F277" s="14">
        <v>9</v>
      </c>
      <c r="G277" s="80">
        <f t="shared" si="3"/>
        <v>12.899999999999999</v>
      </c>
      <c r="H277" s="80">
        <f t="shared" si="2"/>
        <v>14.875</v>
      </c>
      <c r="I277" s="82">
        <v>15.6</v>
      </c>
      <c r="J277" s="32">
        <v>13.578795217111599</v>
      </c>
      <c r="K277" s="32">
        <v>6.0486963808032401</v>
      </c>
      <c r="L277" s="87">
        <v>10.138181300984995</v>
      </c>
      <c r="M277" s="119">
        <v>94.142857142857096</v>
      </c>
      <c r="N277" s="33">
        <v>49</v>
      </c>
      <c r="O277" s="114">
        <v>72.33717757936509</v>
      </c>
      <c r="P277" s="122">
        <v>1008.2751161842</v>
      </c>
      <c r="Q277" s="21">
        <v>1002.45352728249</v>
      </c>
      <c r="R277" s="74">
        <v>1005.0609908348368</v>
      </c>
      <c r="S277" s="75">
        <v>9.1999999999999993</v>
      </c>
      <c r="T277" s="65">
        <v>5.5214560183841392</v>
      </c>
      <c r="U277" s="25">
        <v>2</v>
      </c>
      <c r="V277" s="223" t="s">
        <v>236</v>
      </c>
      <c r="W277" s="224" t="s">
        <v>240</v>
      </c>
      <c r="X277" s="16">
        <v>17.899999999999999</v>
      </c>
      <c r="Y277" s="17">
        <v>19.600000000000001</v>
      </c>
      <c r="Z277" s="18">
        <v>0</v>
      </c>
      <c r="AA277" s="46">
        <v>0</v>
      </c>
      <c r="AB277" s="327" t="s">
        <v>258</v>
      </c>
      <c r="AC277" s="29"/>
    </row>
    <row r="278" spans="1:29" s="20" customFormat="1" x14ac:dyDescent="0.3">
      <c r="A278" s="42">
        <v>43741</v>
      </c>
      <c r="B278" s="43">
        <v>8.1</v>
      </c>
      <c r="C278" s="14">
        <v>11.5</v>
      </c>
      <c r="D278" s="14">
        <v>5.3</v>
      </c>
      <c r="E278" s="14">
        <v>13.1</v>
      </c>
      <c r="F278" s="14">
        <v>3.4</v>
      </c>
      <c r="G278" s="80">
        <f t="shared" si="3"/>
        <v>9.6999999999999993</v>
      </c>
      <c r="H278" s="80">
        <f t="shared" si="2"/>
        <v>7.5500000000000007</v>
      </c>
      <c r="I278" s="82">
        <v>9</v>
      </c>
      <c r="J278" s="32">
        <v>12.208014112617301</v>
      </c>
      <c r="K278" s="32">
        <v>2.1707887110197701</v>
      </c>
      <c r="L278" s="87">
        <v>6.5380031344147698</v>
      </c>
      <c r="M278" s="119">
        <v>97.857142857142904</v>
      </c>
      <c r="N278" s="33">
        <v>70.714285714285694</v>
      </c>
      <c r="O278" s="114">
        <v>89.453187003968253</v>
      </c>
      <c r="P278" s="122">
        <v>1014.198460541</v>
      </c>
      <c r="Q278" s="21">
        <v>1004.27278667145</v>
      </c>
      <c r="R278" s="74">
        <v>1010.9170598348932</v>
      </c>
      <c r="S278" s="75">
        <v>7.8</v>
      </c>
      <c r="T278" s="65">
        <v>4.2428782340493889</v>
      </c>
      <c r="U278" s="25">
        <v>1.6</v>
      </c>
      <c r="V278" s="223" t="s">
        <v>229</v>
      </c>
      <c r="W278" s="224" t="s">
        <v>240</v>
      </c>
      <c r="X278" s="16">
        <v>12.3</v>
      </c>
      <c r="Y278" s="17">
        <v>5.9</v>
      </c>
      <c r="Z278" s="18">
        <v>0</v>
      </c>
      <c r="AA278" s="46">
        <v>0</v>
      </c>
      <c r="AB278" s="327" t="s">
        <v>266</v>
      </c>
      <c r="AC278" s="29"/>
    </row>
    <row r="279" spans="1:29" s="20" customFormat="1" x14ac:dyDescent="0.3">
      <c r="A279" s="42">
        <v>43742</v>
      </c>
      <c r="B279" s="43">
        <v>5.3</v>
      </c>
      <c r="C279" s="14">
        <v>11</v>
      </c>
      <c r="D279" s="14">
        <v>7.4</v>
      </c>
      <c r="E279" s="14">
        <v>13.3</v>
      </c>
      <c r="F279" s="14">
        <v>3.4</v>
      </c>
      <c r="G279" s="80">
        <f t="shared" si="3"/>
        <v>9.9</v>
      </c>
      <c r="H279" s="80">
        <f t="shared" si="2"/>
        <v>7.7750000000000004</v>
      </c>
      <c r="I279" s="82">
        <v>8</v>
      </c>
      <c r="J279" s="14">
        <v>7.8344532889006597</v>
      </c>
      <c r="K279" s="14">
        <v>3.27224909295545</v>
      </c>
      <c r="L279" s="82">
        <v>5.8275117498651099</v>
      </c>
      <c r="M279" s="88">
        <v>99</v>
      </c>
      <c r="N279" s="24">
        <v>57.75</v>
      </c>
      <c r="O279" s="84">
        <v>86.107266865079396</v>
      </c>
      <c r="P279" s="122">
        <v>1014.40220976464</v>
      </c>
      <c r="Q279" s="21">
        <v>1009.8614784546</v>
      </c>
      <c r="R279" s="70">
        <v>1012.3719903015398</v>
      </c>
      <c r="S279" s="76">
        <v>4.8</v>
      </c>
      <c r="T279" s="66">
        <v>2.0285815125758013</v>
      </c>
      <c r="U279" s="19">
        <v>0.7</v>
      </c>
      <c r="V279" s="223" t="s">
        <v>229</v>
      </c>
      <c r="W279" s="225" t="s">
        <v>240</v>
      </c>
      <c r="X279" s="16">
        <v>0.4</v>
      </c>
      <c r="Y279" s="17">
        <v>0.1</v>
      </c>
      <c r="Z279" s="18">
        <v>0</v>
      </c>
      <c r="AA279" s="46">
        <v>0</v>
      </c>
      <c r="AB279" s="327" t="s">
        <v>251</v>
      </c>
      <c r="AC279" s="29"/>
    </row>
    <row r="280" spans="1:29" s="20" customFormat="1" x14ac:dyDescent="0.3">
      <c r="A280" s="42">
        <v>43743</v>
      </c>
      <c r="B280" s="43">
        <v>6.7</v>
      </c>
      <c r="C280" s="14">
        <v>8.9</v>
      </c>
      <c r="D280" s="14">
        <v>8.4</v>
      </c>
      <c r="E280" s="14">
        <v>9.1999999999999993</v>
      </c>
      <c r="F280" s="14">
        <v>6.2</v>
      </c>
      <c r="G280" s="68">
        <f t="shared" si="3"/>
        <v>2.9999999999999991</v>
      </c>
      <c r="H280" s="68">
        <f t="shared" si="2"/>
        <v>8.1000000000000014</v>
      </c>
      <c r="I280" s="82">
        <v>7.8</v>
      </c>
      <c r="J280" s="14">
        <v>7.9679781975597503</v>
      </c>
      <c r="K280" s="14">
        <v>5.9075910439026504</v>
      </c>
      <c r="L280" s="82">
        <v>7.2485341438532807</v>
      </c>
      <c r="M280" s="88">
        <v>99</v>
      </c>
      <c r="N280" s="24">
        <v>91</v>
      </c>
      <c r="O280" s="84">
        <v>95.670386904761912</v>
      </c>
      <c r="P280" s="122">
        <v>1009.83237096139</v>
      </c>
      <c r="Q280" s="21">
        <v>1006.79062236564</v>
      </c>
      <c r="R280" s="70">
        <v>1008.266385186929</v>
      </c>
      <c r="S280" s="75">
        <v>5.0999999999999996</v>
      </c>
      <c r="T280" s="65">
        <v>3.0187650061702387</v>
      </c>
      <c r="U280" s="25">
        <v>1</v>
      </c>
      <c r="V280" s="223" t="s">
        <v>357</v>
      </c>
      <c r="W280" s="225" t="s">
        <v>240</v>
      </c>
      <c r="X280" s="16">
        <v>2.2000000000000002</v>
      </c>
      <c r="Y280" s="17">
        <v>9.8000000000000007</v>
      </c>
      <c r="Z280" s="18">
        <v>0</v>
      </c>
      <c r="AA280" s="46">
        <v>0</v>
      </c>
      <c r="AB280" s="327" t="s">
        <v>276</v>
      </c>
      <c r="AC280" s="29"/>
    </row>
    <row r="281" spans="1:29" s="20" customFormat="1" x14ac:dyDescent="0.3">
      <c r="A281" s="42">
        <v>43744</v>
      </c>
      <c r="B281" s="43">
        <v>6.8</v>
      </c>
      <c r="C281" s="14">
        <v>10.199999999999999</v>
      </c>
      <c r="D281" s="14">
        <v>4.0999999999999996</v>
      </c>
      <c r="E281" s="14">
        <v>11.2</v>
      </c>
      <c r="F281" s="14">
        <v>1.6</v>
      </c>
      <c r="G281" s="68">
        <f t="shared" si="3"/>
        <v>9.6</v>
      </c>
      <c r="H281" s="68">
        <f t="shared" si="2"/>
        <v>6.3</v>
      </c>
      <c r="I281" s="82">
        <v>7.1</v>
      </c>
      <c r="J281" s="14">
        <v>7.2530108938667999</v>
      </c>
      <c r="K281" s="14">
        <v>-1.98785248315272</v>
      </c>
      <c r="L281" s="82">
        <v>4.0218134340516949</v>
      </c>
      <c r="M281" s="88">
        <v>99</v>
      </c>
      <c r="N281" s="24">
        <v>64</v>
      </c>
      <c r="O281" s="84">
        <v>84.63405257936509</v>
      </c>
      <c r="P281" s="122">
        <v>1017.2292152170201</v>
      </c>
      <c r="Q281" s="21">
        <v>1009.74504848176</v>
      </c>
      <c r="R281" s="70">
        <v>1015.074958888784</v>
      </c>
      <c r="S281" s="75">
        <v>9.5</v>
      </c>
      <c r="T281" s="65">
        <v>5.5214560183841392</v>
      </c>
      <c r="U281" s="25">
        <v>2.2999999999999998</v>
      </c>
      <c r="V281" s="223" t="s">
        <v>227</v>
      </c>
      <c r="W281" s="225" t="s">
        <v>240</v>
      </c>
      <c r="X281" s="16">
        <v>1.1000000000000001</v>
      </c>
      <c r="Y281" s="17">
        <v>0.4</v>
      </c>
      <c r="Z281" s="18">
        <v>0</v>
      </c>
      <c r="AA281" s="46">
        <v>0</v>
      </c>
      <c r="AB281" s="327" t="s">
        <v>258</v>
      </c>
      <c r="AC281" s="29"/>
    </row>
    <row r="282" spans="1:29" s="20" customFormat="1" x14ac:dyDescent="0.3">
      <c r="A282" s="42">
        <v>43745</v>
      </c>
      <c r="B282" s="43">
        <v>-2.8</v>
      </c>
      <c r="C282" s="14">
        <v>10.199999999999999</v>
      </c>
      <c r="D282" s="14">
        <v>-0.7</v>
      </c>
      <c r="E282" s="14">
        <v>11</v>
      </c>
      <c r="F282" s="14">
        <v>-2.9</v>
      </c>
      <c r="G282" s="68">
        <f t="shared" si="3"/>
        <v>13.9</v>
      </c>
      <c r="H282" s="68">
        <f t="shared" si="2"/>
        <v>1.5</v>
      </c>
      <c r="I282" s="82">
        <v>2.9</v>
      </c>
      <c r="J282" s="14">
        <v>2.47099803749447</v>
      </c>
      <c r="K282" s="14">
        <v>-5.21843795005866</v>
      </c>
      <c r="L282" s="82">
        <v>-2.214389065120459</v>
      </c>
      <c r="M282" s="88">
        <v>95</v>
      </c>
      <c r="N282" s="24">
        <v>42.285714285714299</v>
      </c>
      <c r="O282" s="84">
        <v>73.203435019841265</v>
      </c>
      <c r="P282" s="122">
        <v>1020.96576795403</v>
      </c>
      <c r="Q282" s="21">
        <v>1016.8908492471199</v>
      </c>
      <c r="R282" s="70">
        <v>1018.8090956873724</v>
      </c>
      <c r="S282" s="75">
        <v>6.8</v>
      </c>
      <c r="T282" s="65">
        <v>4.2741283893927635</v>
      </c>
      <c r="U282" s="25">
        <v>1.2</v>
      </c>
      <c r="V282" s="223" t="s">
        <v>254</v>
      </c>
      <c r="W282" s="225"/>
      <c r="X282" s="16">
        <v>0</v>
      </c>
      <c r="Y282" s="17">
        <v>0</v>
      </c>
      <c r="Z282" s="18">
        <v>0</v>
      </c>
      <c r="AA282" s="46">
        <v>0</v>
      </c>
      <c r="AB282" s="327" t="s">
        <v>257</v>
      </c>
      <c r="AC282" s="29"/>
    </row>
    <row r="283" spans="1:29" s="20" customFormat="1" x14ac:dyDescent="0.3">
      <c r="A283" s="42">
        <v>43746</v>
      </c>
      <c r="B283" s="43">
        <v>-2.6</v>
      </c>
      <c r="C283" s="14">
        <v>11.2</v>
      </c>
      <c r="D283" s="14">
        <v>9.6</v>
      </c>
      <c r="E283" s="14">
        <v>11.8</v>
      </c>
      <c r="F283" s="14">
        <v>-3.2</v>
      </c>
      <c r="G283" s="68">
        <f t="shared" si="3"/>
        <v>15</v>
      </c>
      <c r="H283" s="68">
        <f t="shared" si="2"/>
        <v>6.9499999999999993</v>
      </c>
      <c r="I283" s="82">
        <v>4.8</v>
      </c>
      <c r="J283" s="14">
        <v>3.7796983568051599</v>
      </c>
      <c r="K283" s="14">
        <v>-5.2588548707141403</v>
      </c>
      <c r="L283" s="82">
        <v>-0.24014234445609317</v>
      </c>
      <c r="M283" s="88">
        <v>96.571428571428598</v>
      </c>
      <c r="N283" s="24">
        <v>46.571428571428598</v>
      </c>
      <c r="O283" s="84">
        <v>67.743179563492049</v>
      </c>
      <c r="P283" s="122">
        <v>1021.26592709402</v>
      </c>
      <c r="Q283" s="21">
        <v>1014.05292529694</v>
      </c>
      <c r="R283" s="70">
        <v>1018.1572522517927</v>
      </c>
      <c r="S283" s="75">
        <v>10.199999999999999</v>
      </c>
      <c r="T283" s="65">
        <v>7.4000367853117357</v>
      </c>
      <c r="U283" s="25">
        <v>2.8</v>
      </c>
      <c r="V283" s="223" t="s">
        <v>230</v>
      </c>
      <c r="W283" s="225" t="s">
        <v>240</v>
      </c>
      <c r="X283" s="16">
        <v>2.2000000000000002</v>
      </c>
      <c r="Y283" s="17">
        <v>0.6</v>
      </c>
      <c r="Z283" s="18">
        <v>0</v>
      </c>
      <c r="AA283" s="46">
        <v>0</v>
      </c>
      <c r="AB283" s="327" t="s">
        <v>405</v>
      </c>
      <c r="AC283" s="29"/>
    </row>
    <row r="284" spans="1:29" s="20" customFormat="1" x14ac:dyDescent="0.3">
      <c r="A284" s="42">
        <v>43747</v>
      </c>
      <c r="B284" s="43">
        <v>8.6999999999999993</v>
      </c>
      <c r="C284" s="14">
        <v>10.3</v>
      </c>
      <c r="D284" s="14">
        <v>11.1</v>
      </c>
      <c r="E284" s="14">
        <v>12.5</v>
      </c>
      <c r="F284" s="14">
        <v>7.6</v>
      </c>
      <c r="G284" s="68">
        <f t="shared" si="3"/>
        <v>4.9000000000000004</v>
      </c>
      <c r="H284" s="68">
        <f t="shared" si="2"/>
        <v>10.3</v>
      </c>
      <c r="I284" s="82">
        <v>10</v>
      </c>
      <c r="J284" s="14">
        <v>8.3197292481249594</v>
      </c>
      <c r="K284" s="14">
        <v>0.95384244864668999</v>
      </c>
      <c r="L284" s="82">
        <v>5.2472920341803917</v>
      </c>
      <c r="M284" s="88">
        <v>89</v>
      </c>
      <c r="N284" s="24">
        <v>53</v>
      </c>
      <c r="O284" s="84">
        <v>73.08726025132276</v>
      </c>
      <c r="P284" s="122">
        <v>1016.38148034988</v>
      </c>
      <c r="Q284" s="21">
        <v>1008.71173053051</v>
      </c>
      <c r="R284" s="70">
        <v>1013.138702118224</v>
      </c>
      <c r="S284" s="75">
        <v>11.9</v>
      </c>
      <c r="T284" s="65">
        <v>6.9286058704173472</v>
      </c>
      <c r="U284" s="25">
        <v>3.2</v>
      </c>
      <c r="V284" s="223" t="s">
        <v>230</v>
      </c>
      <c r="W284" s="225" t="s">
        <v>240</v>
      </c>
      <c r="X284" s="16">
        <v>2.2000000000000002</v>
      </c>
      <c r="Y284" s="17">
        <v>3.7</v>
      </c>
      <c r="Z284" s="18">
        <v>0</v>
      </c>
      <c r="AA284" s="46">
        <v>0</v>
      </c>
      <c r="AB284" s="327" t="s">
        <v>266</v>
      </c>
      <c r="AC284" s="29"/>
    </row>
    <row r="285" spans="1:29" s="20" customFormat="1" x14ac:dyDescent="0.3">
      <c r="A285" s="42">
        <v>43748</v>
      </c>
      <c r="B285" s="43">
        <v>8.8000000000000007</v>
      </c>
      <c r="C285" s="14">
        <v>17.100000000000001</v>
      </c>
      <c r="D285" s="14">
        <v>9.1999999999999993</v>
      </c>
      <c r="E285" s="14">
        <v>18.100000000000001</v>
      </c>
      <c r="F285" s="14">
        <v>7.3</v>
      </c>
      <c r="G285" s="68">
        <f t="shared" si="3"/>
        <v>10.8</v>
      </c>
      <c r="H285" s="68">
        <f t="shared" si="2"/>
        <v>11.074999999999999</v>
      </c>
      <c r="I285" s="82">
        <v>12.2</v>
      </c>
      <c r="J285" s="14">
        <v>10.607379684545601</v>
      </c>
      <c r="K285" s="14">
        <v>3.9509311917555601</v>
      </c>
      <c r="L285" s="82">
        <v>7.3225073961732772</v>
      </c>
      <c r="M285" s="88">
        <v>97</v>
      </c>
      <c r="N285" s="24">
        <v>42.375</v>
      </c>
      <c r="O285" s="84">
        <v>76.245473710317455</v>
      </c>
      <c r="P285" s="122">
        <v>1019.175721483</v>
      </c>
      <c r="Q285" s="21">
        <v>1009.11923663842</v>
      </c>
      <c r="R285" s="70">
        <v>1013.4594088910048</v>
      </c>
      <c r="S285" s="75">
        <v>7.1</v>
      </c>
      <c r="T285" s="65">
        <v>4.221449556099639</v>
      </c>
      <c r="U285" s="25">
        <v>1.5</v>
      </c>
      <c r="V285" s="223" t="s">
        <v>236</v>
      </c>
      <c r="W285" s="225"/>
      <c r="X285" s="16">
        <v>0</v>
      </c>
      <c r="Y285" s="17">
        <v>0</v>
      </c>
      <c r="Z285" s="18">
        <v>0</v>
      </c>
      <c r="AA285" s="46">
        <v>0</v>
      </c>
      <c r="AB285" s="327" t="s">
        <v>251</v>
      </c>
      <c r="AC285" s="29"/>
    </row>
    <row r="286" spans="1:29" s="20" customFormat="1" x14ac:dyDescent="0.3">
      <c r="A286" s="42">
        <v>43749</v>
      </c>
      <c r="B286" s="43">
        <v>1.3</v>
      </c>
      <c r="C286" s="14">
        <v>15.9</v>
      </c>
      <c r="D286" s="14">
        <v>13.7</v>
      </c>
      <c r="E286" s="14">
        <v>16.3</v>
      </c>
      <c r="F286" s="14">
        <v>1.1000000000000001</v>
      </c>
      <c r="G286" s="68">
        <f t="shared" si="3"/>
        <v>15.200000000000001</v>
      </c>
      <c r="H286" s="68">
        <f t="shared" si="2"/>
        <v>11.149999999999999</v>
      </c>
      <c r="I286" s="82">
        <v>9.8000000000000007</v>
      </c>
      <c r="J286" s="14">
        <v>8.2114574505843603</v>
      </c>
      <c r="K286" s="14">
        <v>-5.2699116551740602E-2</v>
      </c>
      <c r="L286" s="82">
        <v>5.3024070716218441</v>
      </c>
      <c r="M286" s="88">
        <v>99</v>
      </c>
      <c r="N286" s="24">
        <v>49.5</v>
      </c>
      <c r="O286" s="84">
        <v>73.016431051587304</v>
      </c>
      <c r="P286" s="122">
        <v>1023.44343590552</v>
      </c>
      <c r="Q286" s="21">
        <v>1019.20482801349</v>
      </c>
      <c r="R286" s="70">
        <v>1021.2250510881474</v>
      </c>
      <c r="S286" s="75">
        <v>8.5</v>
      </c>
      <c r="T286" s="65">
        <v>5.6321708544578195</v>
      </c>
      <c r="U286" s="25">
        <v>2.1</v>
      </c>
      <c r="V286" s="223" t="s">
        <v>230</v>
      </c>
      <c r="W286" s="225"/>
      <c r="X286" s="16">
        <v>0</v>
      </c>
      <c r="Y286" s="17">
        <v>0</v>
      </c>
      <c r="Z286" s="18">
        <v>0</v>
      </c>
      <c r="AA286" s="46">
        <v>0</v>
      </c>
      <c r="AB286" s="327" t="s">
        <v>439</v>
      </c>
      <c r="AC286" s="29"/>
    </row>
    <row r="287" spans="1:29" s="20" customFormat="1" x14ac:dyDescent="0.3">
      <c r="A287" s="42">
        <v>43750</v>
      </c>
      <c r="B287" s="43">
        <v>11</v>
      </c>
      <c r="C287" s="14">
        <v>17.8</v>
      </c>
      <c r="D287" s="14">
        <v>8.1</v>
      </c>
      <c r="E287" s="14">
        <v>17.899999999999999</v>
      </c>
      <c r="F287" s="14">
        <v>6.6</v>
      </c>
      <c r="G287" s="68">
        <f t="shared" si="3"/>
        <v>11.299999999999999</v>
      </c>
      <c r="H287" s="68">
        <f t="shared" si="2"/>
        <v>11.25</v>
      </c>
      <c r="I287" s="82">
        <v>13.3</v>
      </c>
      <c r="J287" s="14">
        <v>8.9123403726964003</v>
      </c>
      <c r="K287" s="14">
        <v>4.2674055307959904</v>
      </c>
      <c r="L287" s="82">
        <v>6.8522165924804819</v>
      </c>
      <c r="M287" s="88">
        <v>93</v>
      </c>
      <c r="N287" s="24">
        <v>50</v>
      </c>
      <c r="O287" s="84">
        <v>68.829737103174594</v>
      </c>
      <c r="P287" s="122">
        <v>1021.67341537687</v>
      </c>
      <c r="Q287" s="21">
        <v>1019.59776594347</v>
      </c>
      <c r="R287" s="70">
        <v>1020.7062144769279</v>
      </c>
      <c r="S287" s="75">
        <v>13.6</v>
      </c>
      <c r="T287" s="65">
        <v>7.6920025223769866</v>
      </c>
      <c r="U287" s="25">
        <v>3.9</v>
      </c>
      <c r="V287" s="223" t="s">
        <v>226</v>
      </c>
      <c r="W287" s="225"/>
      <c r="X287" s="16">
        <v>0</v>
      </c>
      <c r="Y287" s="17">
        <v>0</v>
      </c>
      <c r="Z287" s="18">
        <v>0</v>
      </c>
      <c r="AA287" s="46">
        <v>0</v>
      </c>
      <c r="AB287" s="327" t="s">
        <v>257</v>
      </c>
      <c r="AC287" s="29"/>
    </row>
    <row r="288" spans="1:29" s="20" customFormat="1" x14ac:dyDescent="0.3">
      <c r="A288" s="42">
        <v>43751</v>
      </c>
      <c r="B288" s="43">
        <v>3.5</v>
      </c>
      <c r="C288" s="14">
        <v>20</v>
      </c>
      <c r="D288" s="14">
        <v>9.1999999999999993</v>
      </c>
      <c r="E288" s="14">
        <v>20.2</v>
      </c>
      <c r="F288" s="14">
        <v>3.4</v>
      </c>
      <c r="G288" s="68">
        <f t="shared" si="3"/>
        <v>16.8</v>
      </c>
      <c r="H288" s="68">
        <f t="shared" si="2"/>
        <v>10.475</v>
      </c>
      <c r="I288" s="82">
        <v>10.4</v>
      </c>
      <c r="J288" s="14">
        <v>10.9422173342516</v>
      </c>
      <c r="K288" s="14">
        <v>2.3240716685127798</v>
      </c>
      <c r="L288" s="82">
        <v>6.814678656567204</v>
      </c>
      <c r="M288" s="88">
        <v>99</v>
      </c>
      <c r="N288" s="24">
        <v>54</v>
      </c>
      <c r="O288" s="84">
        <v>80.335193452380963</v>
      </c>
      <c r="P288" s="122">
        <v>1023.5416690076599</v>
      </c>
      <c r="Q288" s="21">
        <v>1020.80568294138</v>
      </c>
      <c r="R288" s="70">
        <v>1021.992471895679</v>
      </c>
      <c r="S288" s="75">
        <v>7.8</v>
      </c>
      <c r="T288" s="65">
        <v>4.5071652620962368</v>
      </c>
      <c r="U288" s="25">
        <v>1.3</v>
      </c>
      <c r="V288" s="223" t="s">
        <v>233</v>
      </c>
      <c r="W288" s="226"/>
      <c r="X288" s="26">
        <v>0</v>
      </c>
      <c r="Y288" s="27">
        <v>0</v>
      </c>
      <c r="Z288" s="28">
        <v>0</v>
      </c>
      <c r="AA288" s="30">
        <v>0</v>
      </c>
      <c r="AB288" s="328" t="s">
        <v>253</v>
      </c>
      <c r="AC288" s="29"/>
    </row>
    <row r="289" spans="1:29" s="20" customFormat="1" x14ac:dyDescent="0.3">
      <c r="A289" s="42">
        <v>43752</v>
      </c>
      <c r="B289" s="43">
        <v>6.1</v>
      </c>
      <c r="C289" s="14">
        <v>21.2</v>
      </c>
      <c r="D289" s="14">
        <v>9.6999999999999993</v>
      </c>
      <c r="E289" s="14">
        <v>21.5</v>
      </c>
      <c r="F289" s="14">
        <v>5.6</v>
      </c>
      <c r="G289" s="68">
        <f t="shared" si="3"/>
        <v>15.9</v>
      </c>
      <c r="H289" s="68">
        <f t="shared" si="2"/>
        <v>11.674999999999999</v>
      </c>
      <c r="I289" s="82">
        <v>11.3</v>
      </c>
      <c r="J289" s="14">
        <v>12.1094104379978</v>
      </c>
      <c r="K289" s="14">
        <v>4.4035569513786399</v>
      </c>
      <c r="L289" s="82">
        <v>7.8885821848332078</v>
      </c>
      <c r="M289" s="88">
        <v>97</v>
      </c>
      <c r="N289" s="24">
        <v>53.285714285714299</v>
      </c>
      <c r="O289" s="84">
        <v>81.80456349206348</v>
      </c>
      <c r="P289" s="122">
        <v>1022.62482549911</v>
      </c>
      <c r="Q289" s="21">
        <v>1019.3649139054299</v>
      </c>
      <c r="R289" s="70">
        <v>1020.7091038326291</v>
      </c>
      <c r="S289" s="75">
        <v>4.8</v>
      </c>
      <c r="T289" s="65">
        <v>2.6285844951686448</v>
      </c>
      <c r="U289" s="25">
        <v>0.7</v>
      </c>
      <c r="V289" s="223" t="s">
        <v>233</v>
      </c>
      <c r="W289" s="226" t="s">
        <v>438</v>
      </c>
      <c r="X289" s="26">
        <v>0.4</v>
      </c>
      <c r="Y289" s="27">
        <v>0.1</v>
      </c>
      <c r="Z289" s="28">
        <v>0</v>
      </c>
      <c r="AA289" s="30">
        <v>0</v>
      </c>
      <c r="AB289" s="328" t="s">
        <v>444</v>
      </c>
      <c r="AC289" s="29"/>
    </row>
    <row r="290" spans="1:29" s="20" customFormat="1" x14ac:dyDescent="0.3">
      <c r="A290" s="42">
        <v>43753</v>
      </c>
      <c r="B290" s="43">
        <v>6.5</v>
      </c>
      <c r="C290" s="14">
        <v>21.7</v>
      </c>
      <c r="D290" s="14">
        <v>11.5</v>
      </c>
      <c r="E290" s="14">
        <v>21.8</v>
      </c>
      <c r="F290" s="14">
        <v>6.4</v>
      </c>
      <c r="G290" s="68">
        <f t="shared" si="3"/>
        <v>15.4</v>
      </c>
      <c r="H290" s="68">
        <f t="shared" si="2"/>
        <v>12.8</v>
      </c>
      <c r="I290" s="82">
        <v>12.7</v>
      </c>
      <c r="J290" s="14">
        <v>12.164197284528599</v>
      </c>
      <c r="K290" s="14">
        <v>5.6577468845664498</v>
      </c>
      <c r="L290" s="82">
        <v>8.6846782554618986</v>
      </c>
      <c r="M290" s="88">
        <v>97</v>
      </c>
      <c r="N290" s="24">
        <v>53</v>
      </c>
      <c r="O290" s="84">
        <v>78.143477182539712</v>
      </c>
      <c r="P290" s="122">
        <v>1019.25394528433</v>
      </c>
      <c r="Q290" s="21">
        <v>1013.5617433011701</v>
      </c>
      <c r="R290" s="70">
        <v>1015.9184716836104</v>
      </c>
      <c r="S290" s="75">
        <v>6.8</v>
      </c>
      <c r="T290" s="65">
        <v>4.2714498046490554</v>
      </c>
      <c r="U290" s="25">
        <v>1.1000000000000001</v>
      </c>
      <c r="V290" s="223" t="s">
        <v>230</v>
      </c>
      <c r="W290" s="226"/>
      <c r="X290" s="26">
        <v>0</v>
      </c>
      <c r="Y290" s="27">
        <v>0</v>
      </c>
      <c r="Z290" s="28">
        <v>0</v>
      </c>
      <c r="AA290" s="30">
        <v>0</v>
      </c>
      <c r="AB290" s="328" t="s">
        <v>315</v>
      </c>
      <c r="AC290" s="29"/>
    </row>
    <row r="291" spans="1:29" s="20" customFormat="1" x14ac:dyDescent="0.3">
      <c r="A291" s="42">
        <v>43754</v>
      </c>
      <c r="B291" s="43">
        <v>6.4</v>
      </c>
      <c r="C291" s="14">
        <v>21.8</v>
      </c>
      <c r="D291" s="14">
        <v>14.1</v>
      </c>
      <c r="E291" s="14">
        <v>22</v>
      </c>
      <c r="F291" s="14">
        <v>6.1</v>
      </c>
      <c r="G291" s="68">
        <f t="shared" si="3"/>
        <v>15.9</v>
      </c>
      <c r="H291" s="68">
        <f t="shared" si="2"/>
        <v>14.100000000000001</v>
      </c>
      <c r="I291" s="82">
        <v>14</v>
      </c>
      <c r="J291" s="14">
        <v>12.018794963496401</v>
      </c>
      <c r="K291" s="14">
        <v>5.0820672564116096</v>
      </c>
      <c r="L291" s="82">
        <v>9.2324498321258659</v>
      </c>
      <c r="M291" s="88">
        <v>95</v>
      </c>
      <c r="N291" s="24">
        <v>52</v>
      </c>
      <c r="O291" s="84">
        <v>74.661884236453147</v>
      </c>
      <c r="P291" s="122">
        <v>1017.68764592153</v>
      </c>
      <c r="Q291" s="21">
        <v>1013.49989069411</v>
      </c>
      <c r="R291" s="70">
        <v>1014.8748890347118</v>
      </c>
      <c r="S291" s="75">
        <v>7.1</v>
      </c>
      <c r="T291" s="65">
        <v>4.5000223694463193</v>
      </c>
      <c r="U291" s="25">
        <v>1.6</v>
      </c>
      <c r="V291" s="223" t="s">
        <v>226</v>
      </c>
      <c r="W291" s="226"/>
      <c r="X291" s="26">
        <v>0</v>
      </c>
      <c r="Y291" s="27">
        <v>0</v>
      </c>
      <c r="Z291" s="28">
        <v>0</v>
      </c>
      <c r="AA291" s="30">
        <v>0</v>
      </c>
      <c r="AB291" s="328" t="s">
        <v>461</v>
      </c>
      <c r="AC291" s="29"/>
    </row>
    <row r="292" spans="1:29" s="20" customFormat="1" x14ac:dyDescent="0.3">
      <c r="A292" s="42">
        <v>43755</v>
      </c>
      <c r="B292" s="43">
        <v>6.9</v>
      </c>
      <c r="C292" s="14">
        <v>20</v>
      </c>
      <c r="D292" s="14">
        <v>8.6999999999999993</v>
      </c>
      <c r="E292" s="14">
        <v>20.2</v>
      </c>
      <c r="F292" s="14">
        <v>6.8</v>
      </c>
      <c r="G292" s="68">
        <f t="shared" si="3"/>
        <v>13.399999999999999</v>
      </c>
      <c r="H292" s="68">
        <f t="shared" si="2"/>
        <v>11.074999999999999</v>
      </c>
      <c r="I292" s="82">
        <v>11.9</v>
      </c>
      <c r="J292" s="14">
        <v>12.047011787547399</v>
      </c>
      <c r="K292" s="14">
        <v>5.2176080757802197</v>
      </c>
      <c r="L292" s="82">
        <v>7.8736462513948231</v>
      </c>
      <c r="M292" s="88">
        <v>95</v>
      </c>
      <c r="N292" s="24">
        <v>52.428571428571402</v>
      </c>
      <c r="O292" s="84">
        <v>79.473586309523782</v>
      </c>
      <c r="P292" s="122">
        <v>1019.77240486911</v>
      </c>
      <c r="Q292" s="21">
        <v>1017.56030413775</v>
      </c>
      <c r="R292" s="70">
        <v>1018.493927270858</v>
      </c>
      <c r="S292" s="75">
        <v>4.4000000000000004</v>
      </c>
      <c r="T292" s="65">
        <v>3.071443839463361</v>
      </c>
      <c r="U292" s="25">
        <v>0.8</v>
      </c>
      <c r="V292" s="223" t="s">
        <v>235</v>
      </c>
      <c r="W292" s="226"/>
      <c r="X292" s="26">
        <v>0</v>
      </c>
      <c r="Y292" s="27">
        <v>0</v>
      </c>
      <c r="Z292" s="28">
        <v>0</v>
      </c>
      <c r="AA292" s="30">
        <v>0</v>
      </c>
      <c r="AB292" s="328" t="s">
        <v>452</v>
      </c>
      <c r="AC292" s="29"/>
    </row>
    <row r="293" spans="1:29" s="20" customFormat="1" x14ac:dyDescent="0.3">
      <c r="A293" s="42">
        <v>43756</v>
      </c>
      <c r="B293" s="43">
        <v>6.9</v>
      </c>
      <c r="C293" s="14">
        <v>21</v>
      </c>
      <c r="D293" s="14">
        <v>11</v>
      </c>
      <c r="E293" s="14">
        <v>21.1</v>
      </c>
      <c r="F293" s="14">
        <v>6.9</v>
      </c>
      <c r="G293" s="68">
        <f t="shared" si="3"/>
        <v>14.200000000000001</v>
      </c>
      <c r="H293" s="68">
        <f t="shared" si="2"/>
        <v>12.475</v>
      </c>
      <c r="I293" s="82">
        <v>12</v>
      </c>
      <c r="J293" s="14">
        <v>12.519323849733199</v>
      </c>
      <c r="K293" s="14">
        <v>5.1922886153691703</v>
      </c>
      <c r="L293" s="82">
        <v>8.2215864542214518</v>
      </c>
      <c r="M293" s="88">
        <v>95</v>
      </c>
      <c r="N293" s="24">
        <v>51.714285714285701</v>
      </c>
      <c r="O293" s="84">
        <v>79.48691716269839</v>
      </c>
      <c r="P293" s="122">
        <v>1018.38984390871</v>
      </c>
      <c r="Q293" s="21">
        <v>1014.4895308065001</v>
      </c>
      <c r="R293" s="70">
        <v>1016.2840243404052</v>
      </c>
      <c r="S293" s="75">
        <v>6.5</v>
      </c>
      <c r="T293" s="65">
        <v>4.3500216237981117</v>
      </c>
      <c r="U293" s="25">
        <v>0.9</v>
      </c>
      <c r="V293" s="223" t="s">
        <v>230</v>
      </c>
      <c r="W293" s="226" t="s">
        <v>462</v>
      </c>
      <c r="X293" s="26">
        <v>0.4</v>
      </c>
      <c r="Y293" s="27">
        <v>0.1</v>
      </c>
      <c r="Z293" s="28">
        <v>0</v>
      </c>
      <c r="AA293" s="30">
        <v>0</v>
      </c>
      <c r="AB293" s="328" t="s">
        <v>439</v>
      </c>
      <c r="AC293" s="29"/>
    </row>
    <row r="294" spans="1:29" s="20" customFormat="1" x14ac:dyDescent="0.3">
      <c r="A294" s="42">
        <v>43757</v>
      </c>
      <c r="B294" s="43">
        <v>9</v>
      </c>
      <c r="C294" s="14">
        <v>18.8</v>
      </c>
      <c r="D294" s="14">
        <v>11</v>
      </c>
      <c r="E294" s="14">
        <v>19.5</v>
      </c>
      <c r="F294" s="14">
        <v>7.5</v>
      </c>
      <c r="G294" s="68">
        <f t="shared" si="3"/>
        <v>12</v>
      </c>
      <c r="H294" s="68">
        <f t="shared" si="2"/>
        <v>12.45</v>
      </c>
      <c r="I294" s="82">
        <v>12.7</v>
      </c>
      <c r="J294" s="14">
        <v>11.6072237884096</v>
      </c>
      <c r="K294" s="14">
        <v>5.3528129890200198</v>
      </c>
      <c r="L294" s="82">
        <v>8.434880747735253</v>
      </c>
      <c r="M294" s="88">
        <v>94.142857142857096</v>
      </c>
      <c r="N294" s="24">
        <v>53</v>
      </c>
      <c r="O294" s="84">
        <v>76.711619543650798</v>
      </c>
      <c r="P294" s="122">
        <v>1016.8035289289001</v>
      </c>
      <c r="Q294" s="21">
        <v>1015.24631211195</v>
      </c>
      <c r="R294" s="70">
        <v>1015.9750075352681</v>
      </c>
      <c r="S294" s="75">
        <v>9.9</v>
      </c>
      <c r="T294" s="65">
        <v>5.7143141199318332</v>
      </c>
      <c r="U294" s="25">
        <v>1.8</v>
      </c>
      <c r="V294" s="223" t="s">
        <v>230</v>
      </c>
      <c r="W294" s="226"/>
      <c r="X294" s="26">
        <v>0</v>
      </c>
      <c r="Y294" s="27">
        <v>0</v>
      </c>
      <c r="Z294" s="28">
        <v>0</v>
      </c>
      <c r="AA294" s="30">
        <v>0</v>
      </c>
      <c r="AB294" s="328" t="s">
        <v>247</v>
      </c>
      <c r="AC294" s="29"/>
    </row>
    <row r="295" spans="1:29" s="20" customFormat="1" ht="28.8" x14ac:dyDescent="0.3">
      <c r="A295" s="42">
        <v>43758</v>
      </c>
      <c r="B295" s="43">
        <v>7.3</v>
      </c>
      <c r="C295" s="14">
        <v>21.3</v>
      </c>
      <c r="D295" s="14">
        <v>11.7</v>
      </c>
      <c r="E295" s="14">
        <v>21.5</v>
      </c>
      <c r="F295" s="14">
        <v>6.7</v>
      </c>
      <c r="G295" s="68">
        <f t="shared" si="3"/>
        <v>14.8</v>
      </c>
      <c r="H295" s="68">
        <f t="shared" si="2"/>
        <v>13</v>
      </c>
      <c r="I295" s="82">
        <v>13.3</v>
      </c>
      <c r="J295" s="14">
        <v>10.4478874781804</v>
      </c>
      <c r="K295" s="14">
        <v>5.5072114996494497</v>
      </c>
      <c r="L295" s="82">
        <v>8.1833442826834517</v>
      </c>
      <c r="M295" s="88">
        <v>94</v>
      </c>
      <c r="N295" s="24">
        <v>47.5</v>
      </c>
      <c r="O295" s="84">
        <v>73.502282439782434</v>
      </c>
      <c r="P295" s="122">
        <v>1018.89920924261</v>
      </c>
      <c r="Q295" s="21">
        <v>1015.8866639791401</v>
      </c>
      <c r="R295" s="70">
        <v>1017.8185191474774</v>
      </c>
      <c r="S295" s="75">
        <v>9.5</v>
      </c>
      <c r="T295" s="65">
        <v>6.7286048762197357</v>
      </c>
      <c r="U295" s="25">
        <v>2.2000000000000002</v>
      </c>
      <c r="V295" s="223" t="s">
        <v>226</v>
      </c>
      <c r="W295" s="226"/>
      <c r="X295" s="26">
        <v>0</v>
      </c>
      <c r="Y295" s="27">
        <v>0</v>
      </c>
      <c r="Z295" s="28">
        <v>0</v>
      </c>
      <c r="AA295" s="30">
        <v>0</v>
      </c>
      <c r="AB295" s="328" t="s">
        <v>469</v>
      </c>
      <c r="AC295" s="29"/>
    </row>
    <row r="296" spans="1:29" s="20" customFormat="1" x14ac:dyDescent="0.3">
      <c r="A296" s="42">
        <v>43759</v>
      </c>
      <c r="B296" s="43">
        <v>9.1</v>
      </c>
      <c r="C296" s="14">
        <v>22.2</v>
      </c>
      <c r="D296" s="14">
        <v>10.8</v>
      </c>
      <c r="E296" s="14">
        <v>22.3</v>
      </c>
      <c r="F296" s="14">
        <v>8.4</v>
      </c>
      <c r="G296" s="68">
        <f t="shared" si="3"/>
        <v>13.9</v>
      </c>
      <c r="H296" s="68">
        <f t="shared" si="2"/>
        <v>13.225</v>
      </c>
      <c r="I296" s="82">
        <v>13.9</v>
      </c>
      <c r="J296" s="14">
        <v>11.8983199365901</v>
      </c>
      <c r="K296" s="14">
        <v>5.04557675056724</v>
      </c>
      <c r="L296" s="82">
        <v>8.7986454835322014</v>
      </c>
      <c r="M296" s="88">
        <v>91</v>
      </c>
      <c r="N296" s="24">
        <v>51</v>
      </c>
      <c r="O296" s="84">
        <v>73.716641865079353</v>
      </c>
      <c r="P296" s="122">
        <v>1022.81401567176</v>
      </c>
      <c r="Q296" s="21">
        <v>1018.34618397909</v>
      </c>
      <c r="R296" s="70">
        <v>1020.6007208280558</v>
      </c>
      <c r="S296" s="75">
        <v>8.5</v>
      </c>
      <c r="T296" s="65">
        <v>5.6580638403137495</v>
      </c>
      <c r="U296" s="25">
        <v>1.7</v>
      </c>
      <c r="V296" s="223" t="s">
        <v>226</v>
      </c>
      <c r="W296" s="226"/>
      <c r="X296" s="26">
        <v>0</v>
      </c>
      <c r="Y296" s="27">
        <v>0</v>
      </c>
      <c r="Z296" s="28">
        <v>0</v>
      </c>
      <c r="AA296" s="30">
        <v>0</v>
      </c>
      <c r="AB296" s="328" t="s">
        <v>465</v>
      </c>
      <c r="AC296" s="29"/>
    </row>
    <row r="297" spans="1:29" s="20" customFormat="1" ht="28.8" x14ac:dyDescent="0.3">
      <c r="A297" s="42">
        <v>43760</v>
      </c>
      <c r="B297" s="43">
        <v>8</v>
      </c>
      <c r="C297" s="14">
        <v>21.4</v>
      </c>
      <c r="D297" s="14">
        <v>10.4</v>
      </c>
      <c r="E297" s="14">
        <v>21.5</v>
      </c>
      <c r="F297" s="14">
        <v>6.6</v>
      </c>
      <c r="G297" s="68">
        <f t="shared" si="3"/>
        <v>14.9</v>
      </c>
      <c r="H297" s="68">
        <f t="shared" si="2"/>
        <v>12.55</v>
      </c>
      <c r="I297" s="82">
        <v>12.4</v>
      </c>
      <c r="J297" s="14">
        <v>11.740055103635299</v>
      </c>
      <c r="K297" s="14">
        <v>4.7555018051858999</v>
      </c>
      <c r="L297" s="82">
        <v>8.2358784581085196</v>
      </c>
      <c r="M297" s="88">
        <v>92</v>
      </c>
      <c r="N297" s="24">
        <v>52.428571428571402</v>
      </c>
      <c r="O297" s="84">
        <v>77.38467261904762</v>
      </c>
      <c r="P297" s="122">
        <v>1024.2547675117601</v>
      </c>
      <c r="Q297" s="21">
        <v>1022.24644479107</v>
      </c>
      <c r="R297" s="70">
        <v>1023.225619562068</v>
      </c>
      <c r="S297" s="75">
        <v>3.4</v>
      </c>
      <c r="T297" s="65">
        <v>1.9392953544518665</v>
      </c>
      <c r="U297" s="25">
        <v>0.5</v>
      </c>
      <c r="V297" s="223" t="s">
        <v>256</v>
      </c>
      <c r="W297" s="226"/>
      <c r="X297" s="26">
        <v>0</v>
      </c>
      <c r="Y297" s="27">
        <v>0</v>
      </c>
      <c r="Z297" s="28">
        <v>0</v>
      </c>
      <c r="AA297" s="30">
        <v>0</v>
      </c>
      <c r="AB297" s="328" t="s">
        <v>464</v>
      </c>
      <c r="AC297" s="29"/>
    </row>
    <row r="298" spans="1:29" s="20" customFormat="1" x14ac:dyDescent="0.3">
      <c r="A298" s="42">
        <v>43761</v>
      </c>
      <c r="B298" s="43">
        <v>8.6</v>
      </c>
      <c r="C298" s="14">
        <v>19.2</v>
      </c>
      <c r="D298" s="14">
        <v>10.1</v>
      </c>
      <c r="E298" s="14">
        <v>20.3</v>
      </c>
      <c r="F298" s="14">
        <v>7.6</v>
      </c>
      <c r="G298" s="68">
        <f t="shared" si="3"/>
        <v>12.700000000000001</v>
      </c>
      <c r="H298" s="68">
        <f t="shared" si="2"/>
        <v>12</v>
      </c>
      <c r="I298" s="82">
        <v>11.4</v>
      </c>
      <c r="J298" s="14">
        <v>12.5188889550718</v>
      </c>
      <c r="K298" s="14">
        <v>5.2900953544267404</v>
      </c>
      <c r="L298" s="82">
        <v>8.4188672993861999</v>
      </c>
      <c r="M298" s="88">
        <v>93</v>
      </c>
      <c r="N298" s="24">
        <v>60</v>
      </c>
      <c r="O298" s="84">
        <v>82.279265873015873</v>
      </c>
      <c r="P298" s="122">
        <v>1023.52711594781</v>
      </c>
      <c r="Q298" s="21">
        <v>1019.49589320513</v>
      </c>
      <c r="R298" s="70">
        <v>1021.5894972274479</v>
      </c>
      <c r="S298" s="75">
        <v>2.4</v>
      </c>
      <c r="T298" s="65">
        <v>1.4250070836580013</v>
      </c>
      <c r="U298" s="25">
        <v>0.4</v>
      </c>
      <c r="V298" s="223" t="s">
        <v>234</v>
      </c>
      <c r="W298" s="226" t="s">
        <v>438</v>
      </c>
      <c r="X298" s="26">
        <v>0.4</v>
      </c>
      <c r="Y298" s="27">
        <v>0.3</v>
      </c>
      <c r="Z298" s="28">
        <v>0</v>
      </c>
      <c r="AA298" s="30">
        <v>0</v>
      </c>
      <c r="AB298" s="328" t="s">
        <v>466</v>
      </c>
      <c r="AC298" s="29"/>
    </row>
    <row r="299" spans="1:29" s="20" customFormat="1" ht="28.8" x14ac:dyDescent="0.3">
      <c r="A299" s="42">
        <v>43762</v>
      </c>
      <c r="B299" s="43">
        <v>7.4</v>
      </c>
      <c r="C299" s="14">
        <v>22</v>
      </c>
      <c r="D299" s="14">
        <v>11.3</v>
      </c>
      <c r="E299" s="14">
        <v>22.1</v>
      </c>
      <c r="F299" s="14">
        <v>7.3</v>
      </c>
      <c r="G299" s="68">
        <f t="shared" si="3"/>
        <v>14.8</v>
      </c>
      <c r="H299" s="68">
        <f t="shared" si="2"/>
        <v>13</v>
      </c>
      <c r="I299" s="82">
        <v>12.9</v>
      </c>
      <c r="J299" s="14">
        <v>12.178739469566899</v>
      </c>
      <c r="K299" s="14">
        <v>3.7391199418433998</v>
      </c>
      <c r="L299" s="82">
        <v>8.0548638951606719</v>
      </c>
      <c r="M299" s="88">
        <v>93</v>
      </c>
      <c r="N299" s="24">
        <v>50</v>
      </c>
      <c r="O299" s="84">
        <v>75.689174107142833</v>
      </c>
      <c r="P299" s="122">
        <v>1019.58321271425</v>
      </c>
      <c r="Q299" s="21">
        <v>1015.61196776389</v>
      </c>
      <c r="R299" s="70">
        <v>1017.3936072284929</v>
      </c>
      <c r="S299" s="75">
        <v>7.1</v>
      </c>
      <c r="T299" s="65">
        <v>4.8357383239923193</v>
      </c>
      <c r="U299" s="25">
        <v>1.2</v>
      </c>
      <c r="V299" s="223" t="s">
        <v>226</v>
      </c>
      <c r="W299" s="226" t="s">
        <v>438</v>
      </c>
      <c r="X299" s="26">
        <v>0.4</v>
      </c>
      <c r="Y299" s="27">
        <v>0.1</v>
      </c>
      <c r="Z299" s="28">
        <v>0</v>
      </c>
      <c r="AA299" s="30">
        <v>0</v>
      </c>
      <c r="AB299" s="328" t="s">
        <v>467</v>
      </c>
      <c r="AC299" s="29"/>
    </row>
    <row r="300" spans="1:29" s="20" customFormat="1" ht="28.8" x14ac:dyDescent="0.3">
      <c r="A300" s="42">
        <v>43763</v>
      </c>
      <c r="B300" s="43">
        <v>5.2</v>
      </c>
      <c r="C300" s="14">
        <v>21.1</v>
      </c>
      <c r="D300" s="14">
        <v>8.3000000000000007</v>
      </c>
      <c r="E300" s="14">
        <v>21.8</v>
      </c>
      <c r="F300" s="14">
        <v>4.4000000000000004</v>
      </c>
      <c r="G300" s="68">
        <f t="shared" si="3"/>
        <v>17.399999999999999</v>
      </c>
      <c r="H300" s="68">
        <f t="shared" si="2"/>
        <v>10.725000000000001</v>
      </c>
      <c r="I300" s="82">
        <v>10.4</v>
      </c>
      <c r="J300" s="14">
        <v>10.8509239699428</v>
      </c>
      <c r="K300" s="14">
        <v>2.4278108297652001</v>
      </c>
      <c r="L300" s="82">
        <v>6.0015115493711511</v>
      </c>
      <c r="M300" s="88">
        <v>93</v>
      </c>
      <c r="N300" s="24">
        <v>45.285714285714299</v>
      </c>
      <c r="O300" s="84">
        <v>76.836309523809561</v>
      </c>
      <c r="P300" s="122">
        <v>1023.80362376234</v>
      </c>
      <c r="Q300" s="21">
        <v>1016.94906277195</v>
      </c>
      <c r="R300" s="70">
        <v>1020.2428251363223</v>
      </c>
      <c r="S300" s="75">
        <v>2.4</v>
      </c>
      <c r="T300" s="65">
        <v>1.4357214226328736</v>
      </c>
      <c r="U300" s="25">
        <v>0.5</v>
      </c>
      <c r="V300" s="223" t="s">
        <v>256</v>
      </c>
      <c r="W300" s="226"/>
      <c r="X300" s="26">
        <v>0</v>
      </c>
      <c r="Y300" s="27">
        <v>0</v>
      </c>
      <c r="Z300" s="28">
        <v>0</v>
      </c>
      <c r="AA300" s="30">
        <v>0</v>
      </c>
      <c r="AB300" s="328" t="s">
        <v>468</v>
      </c>
      <c r="AC300" s="29"/>
    </row>
    <row r="301" spans="1:29" s="20" customFormat="1" ht="28.8" x14ac:dyDescent="0.3">
      <c r="A301" s="42">
        <v>43764</v>
      </c>
      <c r="B301" s="43">
        <v>7.5</v>
      </c>
      <c r="C301" s="14">
        <v>19.7</v>
      </c>
      <c r="D301" s="14">
        <v>7.1</v>
      </c>
      <c r="E301" s="14">
        <v>20</v>
      </c>
      <c r="F301" s="14">
        <v>3</v>
      </c>
      <c r="G301" s="68">
        <f t="shared" si="3"/>
        <v>17</v>
      </c>
      <c r="H301" s="68">
        <f t="shared" si="2"/>
        <v>10.35</v>
      </c>
      <c r="I301" s="82">
        <v>9.6</v>
      </c>
      <c r="J301" s="14">
        <v>11.133201710926301</v>
      </c>
      <c r="K301" s="14">
        <v>0.839532734927534</v>
      </c>
      <c r="L301" s="82">
        <v>5.5472654576365965</v>
      </c>
      <c r="M301" s="88">
        <v>93</v>
      </c>
      <c r="N301" s="24">
        <v>50.142857142857103</v>
      </c>
      <c r="O301" s="84">
        <v>77.879588293650798</v>
      </c>
      <c r="P301" s="122">
        <v>1023.89094196782</v>
      </c>
      <c r="Q301" s="21">
        <v>1020.51461908162</v>
      </c>
      <c r="R301" s="70">
        <v>1022.0562726768027</v>
      </c>
      <c r="S301" s="75">
        <v>5.8</v>
      </c>
      <c r="T301" s="65">
        <v>3.1071583027129304</v>
      </c>
      <c r="U301" s="25">
        <v>0.8</v>
      </c>
      <c r="V301" s="223" t="s">
        <v>227</v>
      </c>
      <c r="W301" s="226" t="s">
        <v>438</v>
      </c>
      <c r="X301" s="26">
        <v>0.4</v>
      </c>
      <c r="Y301" s="27">
        <v>0.2</v>
      </c>
      <c r="Z301" s="28">
        <v>0</v>
      </c>
      <c r="AA301" s="30">
        <v>0</v>
      </c>
      <c r="AB301" s="328" t="s">
        <v>468</v>
      </c>
      <c r="AC301" s="29"/>
    </row>
    <row r="302" spans="1:29" s="20" customFormat="1" x14ac:dyDescent="0.3">
      <c r="A302" s="42">
        <v>43765</v>
      </c>
      <c r="B302" s="43">
        <v>5.6</v>
      </c>
      <c r="C302" s="14">
        <v>16.5</v>
      </c>
      <c r="D302" s="14">
        <v>7.4</v>
      </c>
      <c r="E302" s="14">
        <v>17.2</v>
      </c>
      <c r="F302" s="14">
        <v>4</v>
      </c>
      <c r="G302" s="68">
        <f t="shared" si="3"/>
        <v>13.2</v>
      </c>
      <c r="H302" s="68">
        <f t="shared" si="2"/>
        <v>9.2250000000000014</v>
      </c>
      <c r="I302" s="82">
        <v>8.8000000000000007</v>
      </c>
      <c r="J302" s="14">
        <v>10.0968220127161</v>
      </c>
      <c r="K302" s="14">
        <v>2.1944085071736898</v>
      </c>
      <c r="L302" s="82">
        <v>6.146869746959541</v>
      </c>
      <c r="M302" s="88">
        <v>92</v>
      </c>
      <c r="N302" s="24">
        <v>63</v>
      </c>
      <c r="O302" s="84">
        <v>82.883742559523796</v>
      </c>
      <c r="P302" s="122">
        <v>1020.51461907134</v>
      </c>
      <c r="Q302" s="21">
        <v>1016.43969397926</v>
      </c>
      <c r="R302" s="70">
        <v>1018.4494621244498</v>
      </c>
      <c r="S302" s="75">
        <v>4.0999999999999996</v>
      </c>
      <c r="T302" s="65">
        <v>2.7714423481669401</v>
      </c>
      <c r="U302" s="25">
        <v>0.8</v>
      </c>
      <c r="V302" s="223" t="s">
        <v>229</v>
      </c>
      <c r="W302" s="226" t="s">
        <v>438</v>
      </c>
      <c r="X302" s="26">
        <v>0.4</v>
      </c>
      <c r="Y302" s="27">
        <v>0.1</v>
      </c>
      <c r="Z302" s="28">
        <v>0</v>
      </c>
      <c r="AA302" s="30">
        <v>0</v>
      </c>
      <c r="AB302" s="328" t="s">
        <v>466</v>
      </c>
      <c r="AC302" s="29"/>
    </row>
    <row r="303" spans="1:29" s="20" customFormat="1" x14ac:dyDescent="0.3">
      <c r="A303" s="42">
        <v>43766</v>
      </c>
      <c r="B303" s="43">
        <v>7.1</v>
      </c>
      <c r="C303" s="14">
        <v>9.6</v>
      </c>
      <c r="D303" s="14">
        <v>3.2</v>
      </c>
      <c r="E303" s="14">
        <v>10</v>
      </c>
      <c r="F303" s="14">
        <v>-0.2</v>
      </c>
      <c r="G303" s="68">
        <f t="shared" si="3"/>
        <v>10.199999999999999</v>
      </c>
      <c r="H303" s="68">
        <f t="shared" si="2"/>
        <v>5.7750000000000004</v>
      </c>
      <c r="I303" s="82">
        <v>7.1</v>
      </c>
      <c r="J303" s="14">
        <v>8.5983908129894608</v>
      </c>
      <c r="K303" s="14">
        <v>-3.4509899218829601</v>
      </c>
      <c r="L303" s="82">
        <v>4.2573346488681842</v>
      </c>
      <c r="M303" s="88">
        <v>93</v>
      </c>
      <c r="N303" s="24">
        <v>68</v>
      </c>
      <c r="O303" s="84">
        <v>84.348586309523824</v>
      </c>
      <c r="P303" s="122">
        <v>1019.97978844284</v>
      </c>
      <c r="Q303" s="21">
        <v>1016.23594620736</v>
      </c>
      <c r="R303" s="70">
        <v>1018.2827572544023</v>
      </c>
      <c r="S303" s="75">
        <v>4.8</v>
      </c>
      <c r="T303" s="65">
        <v>2.7214420996175317</v>
      </c>
      <c r="U303" s="25">
        <v>0.9</v>
      </c>
      <c r="V303" s="223" t="s">
        <v>227</v>
      </c>
      <c r="W303" s="226" t="s">
        <v>240</v>
      </c>
      <c r="X303" s="26">
        <v>1.1000000000000001</v>
      </c>
      <c r="Y303" s="27">
        <v>1</v>
      </c>
      <c r="Z303" s="28">
        <v>0</v>
      </c>
      <c r="AA303" s="30">
        <v>0</v>
      </c>
      <c r="AB303" s="328" t="s">
        <v>463</v>
      </c>
      <c r="AC303" s="29"/>
    </row>
    <row r="304" spans="1:29" s="20" customFormat="1" x14ac:dyDescent="0.3">
      <c r="A304" s="42">
        <v>43767</v>
      </c>
      <c r="B304" s="43">
        <v>-0.8</v>
      </c>
      <c r="C304" s="14">
        <v>9.3000000000000007</v>
      </c>
      <c r="D304" s="14">
        <v>6.9</v>
      </c>
      <c r="E304" s="14">
        <v>9.6</v>
      </c>
      <c r="F304" s="14">
        <v>-1</v>
      </c>
      <c r="G304" s="68">
        <f t="shared" si="3"/>
        <v>10.6</v>
      </c>
      <c r="H304" s="68">
        <f t="shared" si="2"/>
        <v>5.5750000000000002</v>
      </c>
      <c r="I304" s="82">
        <v>4.2</v>
      </c>
      <c r="J304" s="14">
        <v>4.4407206406387099</v>
      </c>
      <c r="K304" s="14">
        <v>-3.4509899218829601</v>
      </c>
      <c r="L304" s="82">
        <v>0.46416948694426619</v>
      </c>
      <c r="M304" s="88">
        <v>90</v>
      </c>
      <c r="N304" s="24">
        <v>56.857142857142897</v>
      </c>
      <c r="O304" s="84">
        <v>76.889570932539655</v>
      </c>
      <c r="P304" s="122">
        <v>1023.94005843217</v>
      </c>
      <c r="Q304" s="21">
        <v>1018.92285832888</v>
      </c>
      <c r="R304" s="70">
        <v>1020.326421570412</v>
      </c>
      <c r="S304" s="75">
        <v>3.7</v>
      </c>
      <c r="T304" s="65">
        <v>2.1312605944183263</v>
      </c>
      <c r="U304" s="25">
        <v>0.4</v>
      </c>
      <c r="V304" s="223" t="s">
        <v>227</v>
      </c>
      <c r="W304" s="226" t="s">
        <v>438</v>
      </c>
      <c r="X304" s="26">
        <v>0.4</v>
      </c>
      <c r="Y304" s="27">
        <v>0.1</v>
      </c>
      <c r="Z304" s="28">
        <v>0</v>
      </c>
      <c r="AA304" s="30">
        <v>0</v>
      </c>
      <c r="AB304" s="328" t="s">
        <v>470</v>
      </c>
      <c r="AC304" s="29"/>
    </row>
    <row r="305" spans="1:29" s="20" customFormat="1" x14ac:dyDescent="0.3">
      <c r="A305" s="42">
        <v>43768</v>
      </c>
      <c r="B305" s="43">
        <v>4.3</v>
      </c>
      <c r="C305" s="14">
        <v>8.4</v>
      </c>
      <c r="D305" s="14">
        <v>-0.8</v>
      </c>
      <c r="E305" s="14">
        <v>9.6</v>
      </c>
      <c r="F305" s="14">
        <v>-3.5</v>
      </c>
      <c r="G305" s="68">
        <f t="shared" si="3"/>
        <v>13.1</v>
      </c>
      <c r="H305" s="68">
        <f t="shared" si="2"/>
        <v>2.7749999999999999</v>
      </c>
      <c r="I305" s="82">
        <v>3.6</v>
      </c>
      <c r="J305" s="14">
        <v>4.0364596859607396</v>
      </c>
      <c r="K305" s="14">
        <v>-7.5721647589136198</v>
      </c>
      <c r="L305" s="82">
        <v>-1.9345776510883144</v>
      </c>
      <c r="M305" s="88">
        <v>89</v>
      </c>
      <c r="N305" s="24">
        <v>45.375</v>
      </c>
      <c r="O305" s="84">
        <v>69.880208333333314</v>
      </c>
      <c r="P305" s="122">
        <v>1027.7329166838499</v>
      </c>
      <c r="Q305" s="21">
        <v>1023.9200480260801</v>
      </c>
      <c r="R305" s="70">
        <v>1026.1579697855841</v>
      </c>
      <c r="S305" s="75">
        <v>7.1</v>
      </c>
      <c r="T305" s="65">
        <v>4.592879973895208</v>
      </c>
      <c r="U305" s="25">
        <v>1.2</v>
      </c>
      <c r="V305" s="223" t="s">
        <v>229</v>
      </c>
      <c r="W305" s="226"/>
      <c r="X305" s="26">
        <v>0</v>
      </c>
      <c r="Y305" s="27">
        <v>0</v>
      </c>
      <c r="Z305" s="28">
        <v>0</v>
      </c>
      <c r="AA305" s="30">
        <v>0</v>
      </c>
      <c r="AB305" s="328" t="s">
        <v>251</v>
      </c>
      <c r="AC305" s="29"/>
    </row>
    <row r="306" spans="1:29" s="322" customFormat="1" ht="15" thickBot="1" x14ac:dyDescent="0.35">
      <c r="A306" s="42">
        <v>43769</v>
      </c>
      <c r="B306" s="44">
        <v>-5.4</v>
      </c>
      <c r="C306" s="22">
        <v>9.4</v>
      </c>
      <c r="D306" s="22">
        <v>-2.2000000000000002</v>
      </c>
      <c r="E306" s="22">
        <v>10</v>
      </c>
      <c r="F306" s="22">
        <v>-5.6</v>
      </c>
      <c r="G306" s="320">
        <f t="shared" si="3"/>
        <v>15.6</v>
      </c>
      <c r="H306" s="320">
        <f t="shared" si="2"/>
        <v>-0.10000000000000009</v>
      </c>
      <c r="I306" s="83">
        <v>0.5</v>
      </c>
      <c r="J306" s="22">
        <v>0.47269105603856698</v>
      </c>
      <c r="K306" s="22">
        <v>-9.4852188915820008</v>
      </c>
      <c r="L306" s="83">
        <v>-5.7302839927234341</v>
      </c>
      <c r="M306" s="89">
        <v>81</v>
      </c>
      <c r="N306" s="71">
        <v>35.25</v>
      </c>
      <c r="O306" s="85">
        <v>65.103980654761912</v>
      </c>
      <c r="P306" s="123">
        <v>1027.78567072174</v>
      </c>
      <c r="Q306" s="72">
        <v>1024.0073661906099</v>
      </c>
      <c r="R306" s="73">
        <v>1025.8334217971374</v>
      </c>
      <c r="S306" s="77">
        <v>4.2</v>
      </c>
      <c r="T306" s="67">
        <v>1.9142952301771636</v>
      </c>
      <c r="U306" s="45">
        <v>0.5</v>
      </c>
      <c r="V306" s="227" t="s">
        <v>256</v>
      </c>
      <c r="W306" s="228" t="s">
        <v>438</v>
      </c>
      <c r="X306" s="47">
        <v>0.4</v>
      </c>
      <c r="Y306" s="48">
        <v>0.1</v>
      </c>
      <c r="Z306" s="49">
        <v>0</v>
      </c>
      <c r="AA306" s="50">
        <v>0</v>
      </c>
      <c r="AB306" s="329" t="s">
        <v>471</v>
      </c>
      <c r="AC306" s="321"/>
    </row>
    <row r="307" spans="1:29" s="37" customFormat="1" x14ac:dyDescent="0.3">
      <c r="A307" s="42">
        <v>43770</v>
      </c>
      <c r="B307" s="79">
        <v>-6.3</v>
      </c>
      <c r="C307" s="32">
        <v>8.6</v>
      </c>
      <c r="D307" s="32">
        <v>5.5</v>
      </c>
      <c r="E307" s="32">
        <v>9.1999999999999993</v>
      </c>
      <c r="F307" s="32">
        <v>-6.6</v>
      </c>
      <c r="G307" s="80">
        <f t="shared" si="3"/>
        <v>15.799999999999999</v>
      </c>
      <c r="H307" s="80">
        <f t="shared" si="2"/>
        <v>3.3250000000000002</v>
      </c>
      <c r="I307" s="87">
        <v>2.1</v>
      </c>
      <c r="J307" s="32">
        <v>0.39323013516820998</v>
      </c>
      <c r="K307" s="32">
        <v>-10.609326799190599</v>
      </c>
      <c r="L307" s="87">
        <v>-3.9073933262402738</v>
      </c>
      <c r="M307" s="119">
        <v>80</v>
      </c>
      <c r="N307" s="33">
        <v>43.625</v>
      </c>
      <c r="O307" s="114">
        <v>63.781498015873012</v>
      </c>
      <c r="P307" s="124">
        <v>1025.09884102159</v>
      </c>
      <c r="Q307" s="34">
        <v>1015.15353375622</v>
      </c>
      <c r="R307" s="74">
        <v>1021.3977704597122</v>
      </c>
      <c r="S307" s="116">
        <v>7.8</v>
      </c>
      <c r="T307" s="115">
        <v>4.4714507988466528</v>
      </c>
      <c r="U307" s="35">
        <v>1.6</v>
      </c>
      <c r="V307" s="221" t="s">
        <v>230</v>
      </c>
      <c r="W307" s="229"/>
      <c r="X307" s="109">
        <v>0</v>
      </c>
      <c r="Y307" s="110">
        <v>0</v>
      </c>
      <c r="Z307" s="111">
        <v>0</v>
      </c>
      <c r="AA307" s="117">
        <v>0</v>
      </c>
      <c r="AB307" s="326" t="s">
        <v>257</v>
      </c>
      <c r="AC307" s="36"/>
    </row>
    <row r="308" spans="1:29" s="20" customFormat="1" x14ac:dyDescent="0.3">
      <c r="A308" s="42">
        <v>43771</v>
      </c>
      <c r="B308" s="43">
        <v>4.9000000000000004</v>
      </c>
      <c r="C308" s="14">
        <v>4.4000000000000004</v>
      </c>
      <c r="D308" s="14">
        <v>5.7</v>
      </c>
      <c r="E308" s="14">
        <v>6.6</v>
      </c>
      <c r="F308" s="14">
        <v>3.7</v>
      </c>
      <c r="G308" s="80">
        <f t="shared" si="3"/>
        <v>2.8999999999999995</v>
      </c>
      <c r="H308" s="80">
        <f t="shared" si="2"/>
        <v>5.1750000000000007</v>
      </c>
      <c r="I308" s="82">
        <v>5.0999999999999996</v>
      </c>
      <c r="J308" s="14">
        <v>4.3850274337779398</v>
      </c>
      <c r="K308" s="14">
        <v>-1.16915917740427</v>
      </c>
      <c r="L308" s="82">
        <v>1.2193029554453729</v>
      </c>
      <c r="M308" s="88">
        <v>84</v>
      </c>
      <c r="N308" s="24">
        <v>60</v>
      </c>
      <c r="O308" s="84">
        <v>76.073536706349202</v>
      </c>
      <c r="P308" s="122">
        <v>1015.04256350925</v>
      </c>
      <c r="Q308" s="21">
        <v>1005.26245886156</v>
      </c>
      <c r="R308" s="70">
        <v>1009.1314489217352</v>
      </c>
      <c r="S308" s="75">
        <v>13.3</v>
      </c>
      <c r="T308" s="65">
        <v>7.6643238133585694</v>
      </c>
      <c r="U308" s="25">
        <v>4.2</v>
      </c>
      <c r="V308" s="223" t="s">
        <v>230</v>
      </c>
      <c r="W308" s="224" t="s">
        <v>223</v>
      </c>
      <c r="X308" s="16">
        <v>0</v>
      </c>
      <c r="Y308" s="17">
        <v>0</v>
      </c>
      <c r="Z308" s="18">
        <v>0</v>
      </c>
      <c r="AA308" s="46">
        <v>0</v>
      </c>
      <c r="AB308" s="327" t="s">
        <v>262</v>
      </c>
      <c r="AC308" s="29"/>
    </row>
    <row r="309" spans="1:29" s="20" customFormat="1" x14ac:dyDescent="0.3">
      <c r="A309" s="42">
        <v>43772</v>
      </c>
      <c r="B309" s="43">
        <v>8.6</v>
      </c>
      <c r="C309" s="14">
        <v>11.6</v>
      </c>
      <c r="D309" s="14">
        <v>13.2</v>
      </c>
      <c r="E309" s="14">
        <v>14.4</v>
      </c>
      <c r="F309" s="14">
        <v>6.6</v>
      </c>
      <c r="G309" s="80">
        <f t="shared" si="3"/>
        <v>7.8000000000000007</v>
      </c>
      <c r="H309" s="80">
        <f t="shared" si="2"/>
        <v>11.649999999999999</v>
      </c>
      <c r="I309" s="82">
        <v>10.5</v>
      </c>
      <c r="J309" s="14">
        <v>10.045989750016201</v>
      </c>
      <c r="K309" s="14">
        <v>4.2900246884704796</v>
      </c>
      <c r="L309" s="82">
        <v>7.3928785853541648</v>
      </c>
      <c r="M309" s="88">
        <v>85</v>
      </c>
      <c r="N309" s="24">
        <v>72</v>
      </c>
      <c r="O309" s="84">
        <v>79.662016369047635</v>
      </c>
      <c r="P309" s="122">
        <v>1005.20424293568</v>
      </c>
      <c r="Q309" s="21">
        <v>997.37409298591297</v>
      </c>
      <c r="R309" s="70">
        <v>1001.2000366583293</v>
      </c>
      <c r="S309" s="75">
        <v>10.5</v>
      </c>
      <c r="T309" s="65">
        <v>6.3500315657742501</v>
      </c>
      <c r="U309" s="25">
        <v>3.9</v>
      </c>
      <c r="V309" s="223" t="s">
        <v>230</v>
      </c>
      <c r="W309" s="224" t="s">
        <v>223</v>
      </c>
      <c r="X309" s="16">
        <v>0</v>
      </c>
      <c r="Y309" s="17">
        <v>0</v>
      </c>
      <c r="Z309" s="18">
        <v>0</v>
      </c>
      <c r="AA309" s="46">
        <v>0</v>
      </c>
      <c r="AB309" s="327" t="s">
        <v>262</v>
      </c>
      <c r="AC309" s="29"/>
    </row>
    <row r="310" spans="1:29" s="20" customFormat="1" x14ac:dyDescent="0.3">
      <c r="A310" s="42">
        <v>43773</v>
      </c>
      <c r="B310" s="43">
        <v>13.6</v>
      </c>
      <c r="C310" s="14">
        <v>13.5</v>
      </c>
      <c r="D310" s="14">
        <v>11.7</v>
      </c>
      <c r="E310" s="14">
        <v>14</v>
      </c>
      <c r="F310" s="14">
        <v>7.7</v>
      </c>
      <c r="G310" s="80">
        <f t="shared" si="3"/>
        <v>6.3</v>
      </c>
      <c r="H310" s="80">
        <f t="shared" si="2"/>
        <v>12.625</v>
      </c>
      <c r="I310" s="82">
        <v>12.9</v>
      </c>
      <c r="J310" s="14">
        <v>10.9283904484051</v>
      </c>
      <c r="K310" s="14">
        <v>5.1686344876943897</v>
      </c>
      <c r="L310" s="82">
        <v>9.4009374572721889</v>
      </c>
      <c r="M310" s="88">
        <v>90</v>
      </c>
      <c r="N310" s="24">
        <v>74</v>
      </c>
      <c r="O310" s="84">
        <v>80.698474702380935</v>
      </c>
      <c r="P310" s="122">
        <v>1000.4596055470701</v>
      </c>
      <c r="Q310" s="21">
        <v>993.44438162084396</v>
      </c>
      <c r="R310" s="70">
        <v>995.84675149384884</v>
      </c>
      <c r="S310" s="76">
        <v>10.5</v>
      </c>
      <c r="T310" s="66">
        <v>7.0071776895664168</v>
      </c>
      <c r="U310" s="19">
        <v>2.6</v>
      </c>
      <c r="V310" s="223" t="s">
        <v>230</v>
      </c>
      <c r="W310" s="225" t="s">
        <v>240</v>
      </c>
      <c r="X310" s="16">
        <v>12</v>
      </c>
      <c r="Y310" s="17">
        <v>9</v>
      </c>
      <c r="Z310" s="18">
        <v>0</v>
      </c>
      <c r="AA310" s="46">
        <v>0</v>
      </c>
      <c r="AB310" s="327" t="s">
        <v>276</v>
      </c>
      <c r="AC310" s="29"/>
    </row>
    <row r="311" spans="1:29" s="20" customFormat="1" x14ac:dyDescent="0.3">
      <c r="A311" s="42">
        <v>43774</v>
      </c>
      <c r="B311" s="43">
        <v>8.5</v>
      </c>
      <c r="C311" s="14">
        <v>10.6</v>
      </c>
      <c r="D311" s="14">
        <v>12.9</v>
      </c>
      <c r="E311" s="14">
        <v>13.6</v>
      </c>
      <c r="F311" s="14">
        <v>6</v>
      </c>
      <c r="G311" s="68">
        <f t="shared" si="3"/>
        <v>7.6</v>
      </c>
      <c r="H311" s="68">
        <f t="shared" si="2"/>
        <v>11.225000000000001</v>
      </c>
      <c r="I311" s="82">
        <v>10.4</v>
      </c>
      <c r="J311" s="14">
        <v>10.319175615231201</v>
      </c>
      <c r="K311" s="14">
        <v>4.4851854391361696</v>
      </c>
      <c r="L311" s="82">
        <v>7.9302754686035177</v>
      </c>
      <c r="M311" s="88">
        <v>91</v>
      </c>
      <c r="N311" s="24">
        <v>75</v>
      </c>
      <c r="O311" s="84">
        <v>83.841951884920661</v>
      </c>
      <c r="P311" s="122">
        <v>1003.38498956443</v>
      </c>
      <c r="Q311" s="21">
        <v>995.81676952442399</v>
      </c>
      <c r="R311" s="70">
        <v>1000.3142948372216</v>
      </c>
      <c r="S311" s="75">
        <v>10.5</v>
      </c>
      <c r="T311" s="65">
        <v>6.2786026392750962</v>
      </c>
      <c r="U311" s="25">
        <v>3.2</v>
      </c>
      <c r="V311" s="223" t="s">
        <v>230</v>
      </c>
      <c r="W311" s="225" t="s">
        <v>240</v>
      </c>
      <c r="X311" s="16">
        <v>10.8</v>
      </c>
      <c r="Y311" s="17">
        <v>21.2</v>
      </c>
      <c r="Z311" s="18">
        <v>0</v>
      </c>
      <c r="AA311" s="46">
        <v>0</v>
      </c>
      <c r="AB311" s="327" t="s">
        <v>276</v>
      </c>
      <c r="AC311" s="29"/>
    </row>
    <row r="312" spans="1:29" s="20" customFormat="1" x14ac:dyDescent="0.3">
      <c r="A312" s="42">
        <v>43775</v>
      </c>
      <c r="B312" s="43">
        <v>9.5</v>
      </c>
      <c r="C312" s="14">
        <v>10.6</v>
      </c>
      <c r="D312" s="14">
        <v>6.5</v>
      </c>
      <c r="E312" s="14">
        <v>12.2</v>
      </c>
      <c r="F312" s="14">
        <v>4.4000000000000004</v>
      </c>
      <c r="G312" s="68">
        <f t="shared" si="3"/>
        <v>7.7999999999999989</v>
      </c>
      <c r="H312" s="68">
        <f t="shared" si="2"/>
        <v>8.2750000000000004</v>
      </c>
      <c r="I312" s="82">
        <v>9.3000000000000007</v>
      </c>
      <c r="J312" s="14">
        <v>10.2958849394421</v>
      </c>
      <c r="K312" s="14">
        <v>2.26553324348862</v>
      </c>
      <c r="L312" s="82">
        <v>5.949338446521014</v>
      </c>
      <c r="M312" s="88">
        <v>89</v>
      </c>
      <c r="N312" s="24">
        <v>70</v>
      </c>
      <c r="O312" s="84">
        <v>81.268415178571445</v>
      </c>
      <c r="P312" s="122">
        <v>1008.00950877754</v>
      </c>
      <c r="Q312" s="21">
        <v>995.67122481494403</v>
      </c>
      <c r="R312" s="70">
        <v>1003.168588278418</v>
      </c>
      <c r="S312" s="75">
        <v>6.5</v>
      </c>
      <c r="T312" s="65">
        <v>3.9643054207027086</v>
      </c>
      <c r="U312" s="25">
        <v>1</v>
      </c>
      <c r="V312" s="223" t="s">
        <v>230</v>
      </c>
      <c r="W312" s="225" t="s">
        <v>240</v>
      </c>
      <c r="X312" s="16">
        <v>9.6</v>
      </c>
      <c r="Y312" s="17">
        <v>7.6</v>
      </c>
      <c r="Z312" s="18">
        <v>0</v>
      </c>
      <c r="AA312" s="46">
        <v>0</v>
      </c>
      <c r="AB312" s="327" t="s">
        <v>474</v>
      </c>
      <c r="AC312" s="29"/>
    </row>
    <row r="313" spans="1:29" s="20" customFormat="1" x14ac:dyDescent="0.3">
      <c r="A313" s="42">
        <v>43776</v>
      </c>
      <c r="B313" s="43">
        <v>7.3</v>
      </c>
      <c r="C313" s="14">
        <v>9.5</v>
      </c>
      <c r="D313" s="14">
        <v>6.3</v>
      </c>
      <c r="E313" s="14">
        <v>10.4</v>
      </c>
      <c r="F313" s="14">
        <v>5.0999999999999996</v>
      </c>
      <c r="G313" s="68">
        <f t="shared" si="3"/>
        <v>5.3000000000000007</v>
      </c>
      <c r="H313" s="68">
        <f t="shared" si="2"/>
        <v>7.35</v>
      </c>
      <c r="I313" s="82">
        <v>7.7</v>
      </c>
      <c r="J313" s="14">
        <v>8.8301679048692794</v>
      </c>
      <c r="K313" s="14">
        <v>3.49755340863442</v>
      </c>
      <c r="L313" s="82">
        <v>5.9827435869298915</v>
      </c>
      <c r="M313" s="88">
        <v>91</v>
      </c>
      <c r="N313" s="24">
        <v>85</v>
      </c>
      <c r="O313" s="84">
        <v>89.148561507936506</v>
      </c>
      <c r="P313" s="122">
        <v>1011.86988774234</v>
      </c>
      <c r="Q313" s="21">
        <v>1006.4849903286801</v>
      </c>
      <c r="R313" s="70">
        <v>1008.2591996774275</v>
      </c>
      <c r="S313" s="75">
        <v>3.1</v>
      </c>
      <c r="T313" s="65">
        <v>2.0276886509945626</v>
      </c>
      <c r="U313" s="25">
        <v>0.5</v>
      </c>
      <c r="V313" s="223" t="s">
        <v>232</v>
      </c>
      <c r="W313" s="225" t="s">
        <v>350</v>
      </c>
      <c r="X313" s="16">
        <v>6</v>
      </c>
      <c r="Y313" s="17">
        <v>3</v>
      </c>
      <c r="Z313" s="18">
        <v>0</v>
      </c>
      <c r="AA313" s="46">
        <v>0</v>
      </c>
      <c r="AB313" s="327" t="s">
        <v>475</v>
      </c>
      <c r="AC313" s="29"/>
    </row>
    <row r="314" spans="1:29" s="20" customFormat="1" x14ac:dyDescent="0.3">
      <c r="A314" s="42">
        <v>43777</v>
      </c>
      <c r="B314" s="43">
        <v>6.8</v>
      </c>
      <c r="C314" s="14">
        <v>11.1</v>
      </c>
      <c r="D314" s="14">
        <v>9.1999999999999993</v>
      </c>
      <c r="E314" s="14">
        <v>11.3</v>
      </c>
      <c r="F314" s="14">
        <v>3.9</v>
      </c>
      <c r="G314" s="68">
        <f t="shared" si="3"/>
        <v>7.4</v>
      </c>
      <c r="H314" s="68">
        <f t="shared" si="2"/>
        <v>9.0749999999999993</v>
      </c>
      <c r="I314" s="82">
        <v>8.3000000000000007</v>
      </c>
      <c r="J314" s="14">
        <v>8.4775270588125906</v>
      </c>
      <c r="K314" s="14">
        <v>2.4393202703645098</v>
      </c>
      <c r="L314" s="82">
        <v>6.3320543463436785</v>
      </c>
      <c r="M314" s="88">
        <v>92</v>
      </c>
      <c r="N314" s="24">
        <v>78.142857142857096</v>
      </c>
      <c r="O314" s="84">
        <v>86.318390376984141</v>
      </c>
      <c r="P314" s="122">
        <v>1012.68489038531</v>
      </c>
      <c r="Q314" s="21">
        <v>1008.07318181559</v>
      </c>
      <c r="R314" s="70">
        <v>1010.2207880761548</v>
      </c>
      <c r="S314" s="75">
        <v>2.4</v>
      </c>
      <c r="T314" s="65">
        <v>1.6812583574736957</v>
      </c>
      <c r="U314" s="25">
        <v>0.5</v>
      </c>
      <c r="V314" s="223" t="s">
        <v>231</v>
      </c>
      <c r="W314" s="225" t="s">
        <v>350</v>
      </c>
      <c r="X314" s="16">
        <v>3.6</v>
      </c>
      <c r="Y314" s="17">
        <v>3.4</v>
      </c>
      <c r="Z314" s="18">
        <v>0</v>
      </c>
      <c r="AA314" s="46">
        <v>0</v>
      </c>
      <c r="AB314" s="327" t="s">
        <v>475</v>
      </c>
      <c r="AC314" s="29"/>
    </row>
    <row r="315" spans="1:29" s="20" customFormat="1" x14ac:dyDescent="0.3">
      <c r="A315" s="42">
        <v>43778</v>
      </c>
      <c r="B315" s="43">
        <v>10.4</v>
      </c>
      <c r="C315" s="14">
        <v>14.2</v>
      </c>
      <c r="D315" s="14">
        <v>10.9</v>
      </c>
      <c r="E315" s="14">
        <v>14.7</v>
      </c>
      <c r="F315" s="14">
        <v>9.3000000000000007</v>
      </c>
      <c r="G315" s="68">
        <f t="shared" si="3"/>
        <v>5.3999999999999986</v>
      </c>
      <c r="H315" s="68">
        <f t="shared" si="2"/>
        <v>11.600000000000001</v>
      </c>
      <c r="I315" s="82">
        <v>11.3</v>
      </c>
      <c r="J315" s="14">
        <v>9.9794748499152899</v>
      </c>
      <c r="K315" s="14">
        <v>7.3458534613067803</v>
      </c>
      <c r="L315" s="82">
        <v>8.4692332609179051</v>
      </c>
      <c r="M315" s="88">
        <v>90</v>
      </c>
      <c r="N315" s="24">
        <v>69</v>
      </c>
      <c r="O315" s="84">
        <v>82.62363591269839</v>
      </c>
      <c r="P315" s="122">
        <v>1010.77836271134</v>
      </c>
      <c r="Q315" s="21">
        <v>1008.47886962643</v>
      </c>
      <c r="R315" s="70">
        <v>1009.7626273371819</v>
      </c>
      <c r="S315" s="75">
        <v>7.1</v>
      </c>
      <c r="T315" s="65">
        <v>5.3366336710675828</v>
      </c>
      <c r="U315" s="25">
        <v>1.5</v>
      </c>
      <c r="V315" s="223" t="s">
        <v>230</v>
      </c>
      <c r="W315" s="225" t="s">
        <v>240</v>
      </c>
      <c r="X315" s="16">
        <v>7.2</v>
      </c>
      <c r="Y315" s="17">
        <v>8.6999999999999993</v>
      </c>
      <c r="Z315" s="18">
        <v>0</v>
      </c>
      <c r="AA315" s="46">
        <v>0</v>
      </c>
      <c r="AB315" s="327" t="s">
        <v>458</v>
      </c>
      <c r="AC315" s="29"/>
    </row>
    <row r="316" spans="1:29" s="20" customFormat="1" x14ac:dyDescent="0.3">
      <c r="A316" s="42">
        <v>43779</v>
      </c>
      <c r="B316" s="43">
        <v>9.3000000000000007</v>
      </c>
      <c r="C316" s="14">
        <v>8.6</v>
      </c>
      <c r="D316" s="14">
        <v>7</v>
      </c>
      <c r="E316" s="14">
        <v>10.4</v>
      </c>
      <c r="F316" s="14">
        <v>6.7</v>
      </c>
      <c r="G316" s="68">
        <f t="shared" si="3"/>
        <v>3.7</v>
      </c>
      <c r="H316" s="68">
        <f t="shared" si="2"/>
        <v>7.9749999999999996</v>
      </c>
      <c r="I316" s="82">
        <v>8.5</v>
      </c>
      <c r="J316" s="14">
        <v>8.0055275627166793</v>
      </c>
      <c r="K316" s="14">
        <v>5.0777404745491497</v>
      </c>
      <c r="L316" s="82">
        <v>6.4877788040015609</v>
      </c>
      <c r="M316" s="88">
        <v>91</v>
      </c>
      <c r="N316" s="24">
        <v>86</v>
      </c>
      <c r="O316" s="84">
        <v>88.226004464285722</v>
      </c>
      <c r="P316" s="122">
        <v>1012.95049341109</v>
      </c>
      <c r="Q316" s="21">
        <v>1007.69296266738</v>
      </c>
      <c r="R316" s="70">
        <v>1009.6972785460637</v>
      </c>
      <c r="S316" s="75">
        <v>4.0999999999999996</v>
      </c>
      <c r="T316" s="65">
        <v>2.8285854893662528</v>
      </c>
      <c r="U316" s="25">
        <v>1.1000000000000001</v>
      </c>
      <c r="V316" s="223" t="s">
        <v>235</v>
      </c>
      <c r="W316" s="225" t="s">
        <v>240</v>
      </c>
      <c r="X316" s="16">
        <v>10.8</v>
      </c>
      <c r="Y316" s="17">
        <v>20.5</v>
      </c>
      <c r="Z316" s="18">
        <v>0</v>
      </c>
      <c r="AA316" s="46">
        <v>0</v>
      </c>
      <c r="AB316" s="327" t="s">
        <v>276</v>
      </c>
      <c r="AC316" s="29"/>
    </row>
    <row r="317" spans="1:29" s="20" customFormat="1" x14ac:dyDescent="0.3">
      <c r="A317" s="42">
        <v>43780</v>
      </c>
      <c r="B317" s="43">
        <v>5.3</v>
      </c>
      <c r="C317" s="14">
        <v>8.6999999999999993</v>
      </c>
      <c r="D317" s="14">
        <v>6.5</v>
      </c>
      <c r="E317" s="14">
        <v>9.1999999999999993</v>
      </c>
      <c r="F317" s="14">
        <v>3.3</v>
      </c>
      <c r="G317" s="68">
        <f t="shared" si="3"/>
        <v>5.8999999999999995</v>
      </c>
      <c r="H317" s="68">
        <f t="shared" si="2"/>
        <v>6.75</v>
      </c>
      <c r="I317" s="82">
        <v>6.5</v>
      </c>
      <c r="J317" s="14">
        <v>5.4727670891351101</v>
      </c>
      <c r="K317" s="14">
        <v>-0.15945400426634801</v>
      </c>
      <c r="L317" s="82">
        <v>3.5186022747764607</v>
      </c>
      <c r="M317" s="88">
        <v>91</v>
      </c>
      <c r="N317" s="24">
        <v>68.25</v>
      </c>
      <c r="O317" s="84">
        <v>82.495411706349202</v>
      </c>
      <c r="P317" s="122">
        <v>1018.3752905971201</v>
      </c>
      <c r="Q317" s="21">
        <v>1012.91774784749</v>
      </c>
      <c r="R317" s="70">
        <v>1016.7090051868267</v>
      </c>
      <c r="S317" s="75">
        <v>9.1999999999999993</v>
      </c>
      <c r="T317" s="65">
        <v>5.157168493238486</v>
      </c>
      <c r="U317" s="25">
        <v>1.7</v>
      </c>
      <c r="V317" s="223" t="s">
        <v>226</v>
      </c>
      <c r="W317" s="225" t="s">
        <v>223</v>
      </c>
      <c r="X317" s="16">
        <v>0</v>
      </c>
      <c r="Y317" s="17">
        <v>0</v>
      </c>
      <c r="Z317" s="18">
        <v>0</v>
      </c>
      <c r="AA317" s="46">
        <v>0</v>
      </c>
      <c r="AB317" s="327" t="s">
        <v>248</v>
      </c>
      <c r="AC317" s="29"/>
    </row>
    <row r="318" spans="1:29" s="20" customFormat="1" x14ac:dyDescent="0.3">
      <c r="A318" s="42">
        <v>43781</v>
      </c>
      <c r="B318" s="43">
        <v>1.9</v>
      </c>
      <c r="C318" s="14">
        <v>12.4</v>
      </c>
      <c r="D318" s="14">
        <v>15.3</v>
      </c>
      <c r="E318" s="14">
        <v>16.2</v>
      </c>
      <c r="F318" s="14">
        <v>1.6</v>
      </c>
      <c r="G318" s="68">
        <f t="shared" si="3"/>
        <v>14.6</v>
      </c>
      <c r="H318" s="68">
        <f t="shared" si="2"/>
        <v>11.225000000000001</v>
      </c>
      <c r="I318" s="82">
        <v>8.5</v>
      </c>
      <c r="J318" s="14">
        <v>7.5962809622435197</v>
      </c>
      <c r="K318" s="14">
        <v>-0.81557173648961401</v>
      </c>
      <c r="L318" s="82">
        <v>3.6704203160794515</v>
      </c>
      <c r="M318" s="88">
        <v>91</v>
      </c>
      <c r="N318" s="24">
        <v>51</v>
      </c>
      <c r="O318" s="84">
        <v>70.964595734126959</v>
      </c>
      <c r="P318" s="122">
        <v>1016.3505543138</v>
      </c>
      <c r="Q318" s="21">
        <v>1005.9173870807</v>
      </c>
      <c r="R318" s="70">
        <v>1011.3642853562283</v>
      </c>
      <c r="S318" s="75">
        <v>12.2</v>
      </c>
      <c r="T318" s="65">
        <v>8.0920045107722345</v>
      </c>
      <c r="U318" s="25">
        <v>2.2000000000000002</v>
      </c>
      <c r="V318" s="223" t="s">
        <v>233</v>
      </c>
      <c r="W318" s="225" t="s">
        <v>240</v>
      </c>
      <c r="X318" s="16">
        <v>1.2</v>
      </c>
      <c r="Y318" s="17">
        <v>0.4</v>
      </c>
      <c r="Z318" s="18">
        <v>0</v>
      </c>
      <c r="AA318" s="46">
        <v>0</v>
      </c>
      <c r="AB318" s="327" t="s">
        <v>262</v>
      </c>
      <c r="AC318" s="29"/>
    </row>
    <row r="319" spans="1:29" s="20" customFormat="1" x14ac:dyDescent="0.3">
      <c r="A319" s="42">
        <v>43782</v>
      </c>
      <c r="B319" s="43">
        <v>11.8</v>
      </c>
      <c r="C319" s="14">
        <v>13.3</v>
      </c>
      <c r="D319" s="14">
        <v>17.3</v>
      </c>
      <c r="E319" s="14">
        <v>17.600000000000001</v>
      </c>
      <c r="F319" s="14">
        <v>8.3000000000000007</v>
      </c>
      <c r="G319" s="68">
        <f t="shared" si="3"/>
        <v>9.3000000000000007</v>
      </c>
      <c r="H319" s="68">
        <f t="shared" si="2"/>
        <v>14.925000000000001</v>
      </c>
      <c r="I319" s="82">
        <v>13.9</v>
      </c>
      <c r="J319" s="14">
        <v>9.7337493005553402</v>
      </c>
      <c r="K319" s="14">
        <v>5.4088704615487604</v>
      </c>
      <c r="L319" s="82">
        <v>8.0790615895375364</v>
      </c>
      <c r="M319" s="88">
        <v>85.285714285714306</v>
      </c>
      <c r="N319" s="24">
        <v>53</v>
      </c>
      <c r="O319" s="84">
        <v>68.873387896825363</v>
      </c>
      <c r="P319" s="122">
        <v>1006.12478071378</v>
      </c>
      <c r="Q319" s="21">
        <v>1002.12605934684</v>
      </c>
      <c r="R319" s="70">
        <v>1004.146807453552</v>
      </c>
      <c r="S319" s="75">
        <v>13.3</v>
      </c>
      <c r="T319" s="65">
        <v>9.087545173854096</v>
      </c>
      <c r="U319" s="25">
        <v>2.5</v>
      </c>
      <c r="V319" s="223" t="s">
        <v>226</v>
      </c>
      <c r="W319" s="226" t="s">
        <v>240</v>
      </c>
      <c r="X319" s="26">
        <v>3.6</v>
      </c>
      <c r="Y319" s="27">
        <v>1.6</v>
      </c>
      <c r="Z319" s="28">
        <v>0</v>
      </c>
      <c r="AA319" s="30">
        <v>0</v>
      </c>
      <c r="AB319" s="328" t="s">
        <v>248</v>
      </c>
      <c r="AC319" s="29"/>
    </row>
    <row r="320" spans="1:29" s="20" customFormat="1" x14ac:dyDescent="0.3">
      <c r="A320" s="42">
        <v>43783</v>
      </c>
      <c r="B320" s="43">
        <v>12.3</v>
      </c>
      <c r="C320" s="14">
        <v>13.1</v>
      </c>
      <c r="D320" s="14">
        <v>10.1</v>
      </c>
      <c r="E320" s="14">
        <v>15.6</v>
      </c>
      <c r="F320" s="14">
        <v>8.6999999999999993</v>
      </c>
      <c r="G320" s="68">
        <f t="shared" si="3"/>
        <v>6.9</v>
      </c>
      <c r="H320" s="68">
        <f t="shared" si="2"/>
        <v>11.399999999999999</v>
      </c>
      <c r="I320" s="82">
        <v>12</v>
      </c>
      <c r="J320" s="14">
        <v>9.6485897209695004</v>
      </c>
      <c r="K320" s="14">
        <v>6.0306034931129</v>
      </c>
      <c r="L320" s="82">
        <v>8.0030364579044821</v>
      </c>
      <c r="M320" s="88">
        <v>84</v>
      </c>
      <c r="N320" s="24">
        <v>63</v>
      </c>
      <c r="O320" s="84">
        <v>77.856336805555557</v>
      </c>
      <c r="P320" s="122">
        <v>1012.5248007627</v>
      </c>
      <c r="Q320" s="21">
        <v>1005.1187382965099</v>
      </c>
      <c r="R320" s="70">
        <v>1010.5257490612684</v>
      </c>
      <c r="S320" s="75">
        <v>8.5</v>
      </c>
      <c r="T320" s="65">
        <v>5.6928854419820976</v>
      </c>
      <c r="U320" s="25">
        <v>1.3</v>
      </c>
      <c r="V320" s="223" t="s">
        <v>271</v>
      </c>
      <c r="W320" s="226" t="s">
        <v>240</v>
      </c>
      <c r="X320" s="26">
        <v>3.6</v>
      </c>
      <c r="Y320" s="27">
        <v>1.1000000000000001</v>
      </c>
      <c r="Z320" s="28">
        <v>0</v>
      </c>
      <c r="AA320" s="30">
        <v>0</v>
      </c>
      <c r="AB320" s="328" t="s">
        <v>262</v>
      </c>
      <c r="AC320" s="29"/>
    </row>
    <row r="321" spans="1:29" s="20" customFormat="1" x14ac:dyDescent="0.3">
      <c r="A321" s="42">
        <v>43784</v>
      </c>
      <c r="B321" s="43">
        <v>9.3000000000000007</v>
      </c>
      <c r="C321" s="14">
        <v>12.2</v>
      </c>
      <c r="D321" s="14">
        <v>12.6</v>
      </c>
      <c r="E321" s="14">
        <v>12.8</v>
      </c>
      <c r="F321" s="14">
        <v>8.8000000000000007</v>
      </c>
      <c r="G321" s="68">
        <f t="shared" si="3"/>
        <v>4</v>
      </c>
      <c r="H321" s="68">
        <f t="shared" si="2"/>
        <v>11.675000000000001</v>
      </c>
      <c r="I321" s="82">
        <v>10.9</v>
      </c>
      <c r="J321" s="14">
        <v>11.0700372282678</v>
      </c>
      <c r="K321" s="14">
        <v>6.34394625799378</v>
      </c>
      <c r="L321" s="82">
        <v>8.7404577025829973</v>
      </c>
      <c r="M321" s="88">
        <v>91</v>
      </c>
      <c r="N321" s="24">
        <v>78</v>
      </c>
      <c r="O321" s="84">
        <v>86.148623511904759</v>
      </c>
      <c r="P321" s="122">
        <v>1015.04256350925</v>
      </c>
      <c r="Q321" s="21">
        <v>1012.02997772302</v>
      </c>
      <c r="R321" s="70">
        <v>1013.5633650289815</v>
      </c>
      <c r="S321" s="75">
        <v>8.1999999999999993</v>
      </c>
      <c r="T321" s="65">
        <v>5.1785971711882226</v>
      </c>
      <c r="U321" s="25">
        <v>1.2</v>
      </c>
      <c r="V321" s="223" t="s">
        <v>271</v>
      </c>
      <c r="W321" s="226" t="s">
        <v>240</v>
      </c>
      <c r="X321" s="26">
        <v>3.6</v>
      </c>
      <c r="Y321" s="27">
        <v>0.5</v>
      </c>
      <c r="Z321" s="28">
        <v>0</v>
      </c>
      <c r="AA321" s="30">
        <v>0</v>
      </c>
      <c r="AB321" s="328" t="s">
        <v>276</v>
      </c>
      <c r="AC321" s="29"/>
    </row>
    <row r="322" spans="1:29" s="20" customFormat="1" x14ac:dyDescent="0.3">
      <c r="A322" s="42">
        <v>43785</v>
      </c>
      <c r="B322" s="43">
        <v>11.3</v>
      </c>
      <c r="C322" s="14">
        <v>14.3</v>
      </c>
      <c r="D322" s="14">
        <v>10.7</v>
      </c>
      <c r="E322" s="14">
        <v>14.7</v>
      </c>
      <c r="F322" s="14">
        <v>7.7</v>
      </c>
      <c r="G322" s="68">
        <f t="shared" si="3"/>
        <v>6.9999999999999991</v>
      </c>
      <c r="H322" s="68">
        <f t="shared" si="2"/>
        <v>11.75</v>
      </c>
      <c r="I322" s="82">
        <v>11.9</v>
      </c>
      <c r="J322" s="14">
        <v>8.3037170810568508</v>
      </c>
      <c r="K322" s="14">
        <v>4.3026244725064302</v>
      </c>
      <c r="L322" s="82">
        <v>6.9128454135250017</v>
      </c>
      <c r="M322" s="88">
        <v>87</v>
      </c>
      <c r="N322" s="24">
        <v>61</v>
      </c>
      <c r="O322" s="84">
        <v>72.830605158730137</v>
      </c>
      <c r="P322" s="122">
        <v>1019.07384858512</v>
      </c>
      <c r="Q322" s="21">
        <v>1014.98434958656</v>
      </c>
      <c r="R322" s="70">
        <v>1017.1412352883578</v>
      </c>
      <c r="S322" s="75">
        <v>10.9</v>
      </c>
      <c r="T322" s="65">
        <v>7.5571804236098608</v>
      </c>
      <c r="U322" s="25">
        <v>2.1</v>
      </c>
      <c r="V322" s="223" t="s">
        <v>226</v>
      </c>
      <c r="W322" s="226"/>
      <c r="X322" s="26">
        <v>0</v>
      </c>
      <c r="Y322" s="27">
        <v>0</v>
      </c>
      <c r="Z322" s="28">
        <v>0</v>
      </c>
      <c r="AA322" s="30">
        <v>0</v>
      </c>
      <c r="AB322" s="328" t="s">
        <v>434</v>
      </c>
      <c r="AC322" s="29"/>
    </row>
    <row r="323" spans="1:29" s="20" customFormat="1" x14ac:dyDescent="0.3">
      <c r="A323" s="42">
        <v>43786</v>
      </c>
      <c r="B323" s="43">
        <v>5</v>
      </c>
      <c r="C323" s="14">
        <v>15.8</v>
      </c>
      <c r="D323" s="14">
        <v>5.8</v>
      </c>
      <c r="E323" s="14">
        <v>16.399999999999999</v>
      </c>
      <c r="F323" s="14">
        <v>3.7</v>
      </c>
      <c r="G323" s="68">
        <f t="shared" si="3"/>
        <v>12.7</v>
      </c>
      <c r="H323" s="68">
        <f t="shared" si="2"/>
        <v>8.1</v>
      </c>
      <c r="I323" s="82">
        <v>8.5</v>
      </c>
      <c r="J323" s="14">
        <v>8.7891030483658295</v>
      </c>
      <c r="K323" s="14">
        <v>0.66217408182861304</v>
      </c>
      <c r="L323" s="82">
        <v>4.1598228509819704</v>
      </c>
      <c r="M323" s="88">
        <v>91</v>
      </c>
      <c r="N323" s="24">
        <v>46</v>
      </c>
      <c r="O323" s="84">
        <v>76.809399801587276</v>
      </c>
      <c r="P323" s="122">
        <v>1019.4085736857199</v>
      </c>
      <c r="Q323" s="21">
        <v>1014.32580382195</v>
      </c>
      <c r="R323" s="70">
        <v>1017.1177234249177</v>
      </c>
      <c r="S323" s="75">
        <v>10.9</v>
      </c>
      <c r="T323" s="65">
        <v>6.8205696190873883</v>
      </c>
      <c r="U323" s="25">
        <v>1.1000000000000001</v>
      </c>
      <c r="V323" s="223" t="s">
        <v>230</v>
      </c>
      <c r="W323" s="226"/>
      <c r="X323" s="26">
        <v>0</v>
      </c>
      <c r="Y323" s="27">
        <v>0</v>
      </c>
      <c r="Z323" s="28">
        <v>0</v>
      </c>
      <c r="AA323" s="30">
        <v>0</v>
      </c>
      <c r="AB323" s="328" t="s">
        <v>305</v>
      </c>
      <c r="AC323" s="29"/>
    </row>
    <row r="324" spans="1:29" s="20" customFormat="1" x14ac:dyDescent="0.3">
      <c r="A324" s="42">
        <v>43787</v>
      </c>
      <c r="B324" s="43">
        <v>2.2000000000000002</v>
      </c>
      <c r="C324" s="14">
        <v>13.3</v>
      </c>
      <c r="D324" s="14">
        <v>12.4</v>
      </c>
      <c r="E324" s="14">
        <v>15.1</v>
      </c>
      <c r="F324" s="14">
        <v>2.2000000000000002</v>
      </c>
      <c r="G324" s="68">
        <f t="shared" si="3"/>
        <v>12.899999999999999</v>
      </c>
      <c r="H324" s="68">
        <f t="shared" si="2"/>
        <v>10.074999999999999</v>
      </c>
      <c r="I324" s="82">
        <v>8.1999999999999993</v>
      </c>
      <c r="J324" s="14">
        <v>7.8874382908023497</v>
      </c>
      <c r="K324" s="14">
        <v>-5.7031654755594401E-2</v>
      </c>
      <c r="L324" s="82">
        <v>4.2186946977676936</v>
      </c>
      <c r="M324" s="88">
        <v>91</v>
      </c>
      <c r="N324" s="24">
        <v>54</v>
      </c>
      <c r="O324" s="84">
        <v>76.29501488095238</v>
      </c>
      <c r="P324" s="122">
        <v>1021.03671468248</v>
      </c>
      <c r="Q324" s="21">
        <v>1012.91229024902</v>
      </c>
      <c r="R324" s="70">
        <v>1015.1319854764157</v>
      </c>
      <c r="S324" s="75">
        <v>8.1999999999999993</v>
      </c>
      <c r="T324" s="65">
        <v>5.5125274025717363</v>
      </c>
      <c r="U324" s="25">
        <v>1.4</v>
      </c>
      <c r="V324" s="223" t="s">
        <v>271</v>
      </c>
      <c r="W324" s="226"/>
      <c r="X324" s="26">
        <v>0</v>
      </c>
      <c r="Y324" s="27">
        <v>0</v>
      </c>
      <c r="Z324" s="28">
        <v>0</v>
      </c>
      <c r="AA324" s="30">
        <v>0</v>
      </c>
      <c r="AB324" s="328" t="s">
        <v>458</v>
      </c>
      <c r="AC324" s="29"/>
    </row>
    <row r="325" spans="1:29" s="20" customFormat="1" x14ac:dyDescent="0.3">
      <c r="A325" s="42">
        <v>43788</v>
      </c>
      <c r="B325" s="43">
        <v>3.1</v>
      </c>
      <c r="C325" s="14">
        <v>13.1</v>
      </c>
      <c r="D325" s="14">
        <v>3.2</v>
      </c>
      <c r="E325" s="14">
        <v>13.8</v>
      </c>
      <c r="F325" s="14">
        <v>1.8</v>
      </c>
      <c r="G325" s="68">
        <f t="shared" si="3"/>
        <v>12</v>
      </c>
      <c r="H325" s="68">
        <f t="shared" si="2"/>
        <v>5.65</v>
      </c>
      <c r="I325" s="82">
        <v>6.7</v>
      </c>
      <c r="J325" s="14">
        <v>6.7393163825301698</v>
      </c>
      <c r="K325" s="14">
        <v>-1.01105990382035</v>
      </c>
      <c r="L325" s="82">
        <v>2.5137831594068967</v>
      </c>
      <c r="M325" s="88">
        <v>91</v>
      </c>
      <c r="N325" s="24">
        <v>50</v>
      </c>
      <c r="O325" s="84">
        <v>76.511966765872998</v>
      </c>
      <c r="P325" s="122">
        <v>1024.3857445947899</v>
      </c>
      <c r="Q325" s="21">
        <v>1020.99487430456</v>
      </c>
      <c r="R325" s="70">
        <v>1022.5119346434573</v>
      </c>
      <c r="S325" s="75">
        <v>4.4000000000000004</v>
      </c>
      <c r="T325" s="65">
        <v>2.5428697833696678</v>
      </c>
      <c r="U325" s="25">
        <v>0.9</v>
      </c>
      <c r="V325" s="223" t="s">
        <v>254</v>
      </c>
      <c r="W325" s="226"/>
      <c r="X325" s="26">
        <v>0</v>
      </c>
      <c r="Y325" s="27">
        <v>0</v>
      </c>
      <c r="Z325" s="28">
        <v>0</v>
      </c>
      <c r="AA325" s="30">
        <v>0</v>
      </c>
      <c r="AB325" s="328" t="s">
        <v>368</v>
      </c>
      <c r="AC325" s="29"/>
    </row>
    <row r="326" spans="1:29" s="20" customFormat="1" x14ac:dyDescent="0.3">
      <c r="A326" s="42">
        <v>43789</v>
      </c>
      <c r="B326" s="43">
        <v>0.1</v>
      </c>
      <c r="C326" s="14">
        <v>10.1</v>
      </c>
      <c r="D326" s="14">
        <v>4.7</v>
      </c>
      <c r="E326" s="14">
        <v>10.3</v>
      </c>
      <c r="F326" s="14">
        <v>0</v>
      </c>
      <c r="G326" s="68">
        <f t="shared" si="3"/>
        <v>10.3</v>
      </c>
      <c r="H326" s="68">
        <f t="shared" si="2"/>
        <v>4.9000000000000004</v>
      </c>
      <c r="I326" s="82">
        <v>4.5</v>
      </c>
      <c r="J326" s="14">
        <v>5.12184868242697</v>
      </c>
      <c r="K326" s="14">
        <v>-2.53721955338486</v>
      </c>
      <c r="L326" s="82">
        <v>1.7568030864093545</v>
      </c>
      <c r="M326" s="88">
        <v>89</v>
      </c>
      <c r="N326" s="24">
        <v>70</v>
      </c>
      <c r="O326" s="84">
        <v>81.730649717514126</v>
      </c>
      <c r="P326" s="122">
        <v>1021.41873526354</v>
      </c>
      <c r="Q326" s="21">
        <v>1015.8284502425701</v>
      </c>
      <c r="R326" s="70">
        <v>1018.0856315211947</v>
      </c>
      <c r="S326" s="75">
        <v>2</v>
      </c>
      <c r="T326" s="65">
        <v>1.2928635696345778</v>
      </c>
      <c r="U326" s="25">
        <v>0.4</v>
      </c>
      <c r="V326" s="223" t="s">
        <v>231</v>
      </c>
      <c r="W326" s="226" t="s">
        <v>240</v>
      </c>
      <c r="X326" s="26">
        <v>1.6</v>
      </c>
      <c r="Y326" s="27">
        <v>3.6</v>
      </c>
      <c r="Z326" s="28">
        <v>0</v>
      </c>
      <c r="AA326" s="30">
        <v>0</v>
      </c>
      <c r="AB326" s="328" t="s">
        <v>463</v>
      </c>
      <c r="AC326" s="29"/>
    </row>
    <row r="327" spans="1:29" s="20" customFormat="1" x14ac:dyDescent="0.3">
      <c r="A327" s="42">
        <v>43790</v>
      </c>
      <c r="B327" s="43">
        <v>10.5</v>
      </c>
      <c r="C327" s="14">
        <v>11.2</v>
      </c>
      <c r="D327" s="14">
        <v>11.7</v>
      </c>
      <c r="E327" s="14">
        <v>12</v>
      </c>
      <c r="F327" s="14">
        <v>5.8</v>
      </c>
      <c r="G327" s="68">
        <f t="shared" si="3"/>
        <v>6.2</v>
      </c>
      <c r="H327" s="68">
        <f t="shared" si="2"/>
        <v>11.274999999999999</v>
      </c>
      <c r="I327" s="82">
        <v>10</v>
      </c>
      <c r="J327" s="14">
        <v>8.2845120731589503</v>
      </c>
      <c r="K327" s="14">
        <v>4.3538257773865601</v>
      </c>
      <c r="L327" s="82">
        <v>6.4429087332810822</v>
      </c>
      <c r="M327" s="88">
        <v>90.428571428571402</v>
      </c>
      <c r="N327" s="24">
        <v>64</v>
      </c>
      <c r="O327" s="84">
        <v>77.860243055555586</v>
      </c>
      <c r="P327" s="122">
        <v>1017.60396418594</v>
      </c>
      <c r="Q327" s="21">
        <v>1015.66836237529</v>
      </c>
      <c r="R327" s="70">
        <v>1016.4600202611093</v>
      </c>
      <c r="S327" s="75">
        <v>10.5</v>
      </c>
      <c r="T327" s="65">
        <v>6.0714436619093188</v>
      </c>
      <c r="U327" s="25">
        <v>2.4</v>
      </c>
      <c r="V327" s="223" t="s">
        <v>226</v>
      </c>
      <c r="W327" s="226" t="s">
        <v>240</v>
      </c>
      <c r="X327" s="26">
        <v>2.4</v>
      </c>
      <c r="Y327" s="27">
        <v>0.5</v>
      </c>
      <c r="Z327" s="28">
        <v>0</v>
      </c>
      <c r="AA327" s="30">
        <v>0</v>
      </c>
      <c r="AB327" s="328" t="s">
        <v>262</v>
      </c>
      <c r="AC327" s="29"/>
    </row>
    <row r="328" spans="1:29" s="20" customFormat="1" x14ac:dyDescent="0.3">
      <c r="A328" s="42">
        <v>43791</v>
      </c>
      <c r="B328" s="43">
        <v>8.6999999999999993</v>
      </c>
      <c r="C328" s="14">
        <v>10.8</v>
      </c>
      <c r="D328" s="14">
        <v>7.8</v>
      </c>
      <c r="E328" s="14">
        <v>11.1</v>
      </c>
      <c r="F328" s="14">
        <v>7.2</v>
      </c>
      <c r="G328" s="68">
        <f t="shared" si="3"/>
        <v>3.8999999999999995</v>
      </c>
      <c r="H328" s="68">
        <f t="shared" si="2"/>
        <v>8.7750000000000004</v>
      </c>
      <c r="I328" s="82">
        <v>9.5</v>
      </c>
      <c r="J328" s="14">
        <v>4.5369469660856696</v>
      </c>
      <c r="K328" s="14">
        <v>2.0510210648640501</v>
      </c>
      <c r="L328" s="82">
        <v>3.1799149244946503</v>
      </c>
      <c r="M328" s="88">
        <v>81</v>
      </c>
      <c r="N328" s="24">
        <v>60</v>
      </c>
      <c r="O328" s="84">
        <v>64.947358630952365</v>
      </c>
      <c r="P328" s="122">
        <v>1019.25394527982</v>
      </c>
      <c r="Q328" s="21">
        <v>1017.38566388313</v>
      </c>
      <c r="R328" s="70">
        <v>1018.4696973051149</v>
      </c>
      <c r="S328" s="75">
        <v>9.9</v>
      </c>
      <c r="T328" s="65">
        <v>5.8785860397074998</v>
      </c>
      <c r="U328" s="25">
        <v>2</v>
      </c>
      <c r="V328" s="223" t="s">
        <v>230</v>
      </c>
      <c r="W328" s="226"/>
      <c r="X328" s="26">
        <v>0</v>
      </c>
      <c r="Y328" s="27">
        <v>0</v>
      </c>
      <c r="Z328" s="28">
        <v>0</v>
      </c>
      <c r="AA328" s="30">
        <v>0</v>
      </c>
      <c r="AB328" s="328" t="s">
        <v>248</v>
      </c>
      <c r="AC328" s="29"/>
    </row>
    <row r="329" spans="1:29" s="20" customFormat="1" x14ac:dyDescent="0.3">
      <c r="A329" s="42">
        <v>43792</v>
      </c>
      <c r="B329" s="43">
        <v>7.1</v>
      </c>
      <c r="C329" s="14">
        <v>8.3000000000000007</v>
      </c>
      <c r="D329" s="14">
        <v>4.0999999999999996</v>
      </c>
      <c r="E329" s="14">
        <v>9.3000000000000007</v>
      </c>
      <c r="F329" s="14">
        <v>1.4</v>
      </c>
      <c r="G329" s="68">
        <f t="shared" si="3"/>
        <v>7.9</v>
      </c>
      <c r="H329" s="68">
        <f t="shared" si="2"/>
        <v>5.9</v>
      </c>
      <c r="I329" s="82">
        <v>6.8</v>
      </c>
      <c r="J329" s="14">
        <v>5.0427011100723904</v>
      </c>
      <c r="K329" s="14">
        <v>-1.7230377581542899</v>
      </c>
      <c r="L329" s="82">
        <v>2.8992696091607986</v>
      </c>
      <c r="M329" s="88">
        <v>86</v>
      </c>
      <c r="N329" s="24">
        <v>63.375</v>
      </c>
      <c r="O329" s="84">
        <v>78.207899305555543</v>
      </c>
      <c r="P329" s="122">
        <v>1018.87192183296</v>
      </c>
      <c r="Q329" s="21">
        <v>1016.80352891857</v>
      </c>
      <c r="R329" s="70">
        <v>1017.9725577429575</v>
      </c>
      <c r="S329" s="75">
        <v>8.1999999999999993</v>
      </c>
      <c r="T329" s="65">
        <v>4.8642978044238196</v>
      </c>
      <c r="U329" s="25">
        <v>2.5</v>
      </c>
      <c r="V329" s="223" t="s">
        <v>226</v>
      </c>
      <c r="W329" s="226"/>
      <c r="X329" s="26">
        <v>0</v>
      </c>
      <c r="Y329" s="27">
        <v>0</v>
      </c>
      <c r="Z329" s="28">
        <v>0</v>
      </c>
      <c r="AA329" s="30">
        <v>0</v>
      </c>
      <c r="AB329" s="328" t="s">
        <v>251</v>
      </c>
      <c r="AC329" s="29"/>
    </row>
    <row r="330" spans="1:29" s="20" customFormat="1" x14ac:dyDescent="0.3">
      <c r="A330" s="42">
        <v>43793</v>
      </c>
      <c r="B330" s="43">
        <v>-1.4</v>
      </c>
      <c r="C330" s="14">
        <v>10.3</v>
      </c>
      <c r="D330" s="14">
        <v>0.4</v>
      </c>
      <c r="E330" s="14">
        <v>10.5</v>
      </c>
      <c r="F330" s="14">
        <v>-1.4</v>
      </c>
      <c r="G330" s="68">
        <f t="shared" si="3"/>
        <v>11.9</v>
      </c>
      <c r="H330" s="68">
        <f t="shared" si="2"/>
        <v>2.4250000000000003</v>
      </c>
      <c r="I330" s="82">
        <v>3.2</v>
      </c>
      <c r="J330" s="14">
        <v>4.4330905008980999</v>
      </c>
      <c r="K330" s="14">
        <v>-3.9075778990141701</v>
      </c>
      <c r="L330" s="82">
        <v>-0.85040757493000274</v>
      </c>
      <c r="M330" s="88">
        <v>90.5</v>
      </c>
      <c r="N330" s="24">
        <v>55</v>
      </c>
      <c r="O330" s="84">
        <v>75.932353670634924</v>
      </c>
      <c r="P330" s="122">
        <v>1017.93869098138</v>
      </c>
      <c r="Q330" s="21">
        <v>1015.07167044732</v>
      </c>
      <c r="R330" s="70">
        <v>1016.6148661643879</v>
      </c>
      <c r="S330" s="75">
        <v>6.5</v>
      </c>
      <c r="T330" s="65">
        <v>4.5366184185531253</v>
      </c>
      <c r="U330" s="25">
        <v>1.3</v>
      </c>
      <c r="V330" s="223" t="s">
        <v>226</v>
      </c>
      <c r="W330" s="226" t="s">
        <v>438</v>
      </c>
      <c r="X330" s="26">
        <v>0.4</v>
      </c>
      <c r="Y330" s="27">
        <v>0.1</v>
      </c>
      <c r="Z330" s="28">
        <v>0</v>
      </c>
      <c r="AA330" s="30">
        <v>0</v>
      </c>
      <c r="AB330" s="328" t="s">
        <v>439</v>
      </c>
      <c r="AC330" s="29"/>
    </row>
    <row r="331" spans="1:29" s="20" customFormat="1" x14ac:dyDescent="0.3">
      <c r="A331" s="42">
        <v>43794</v>
      </c>
      <c r="B331" s="43">
        <v>-0.2</v>
      </c>
      <c r="C331" s="14">
        <v>9.8000000000000007</v>
      </c>
      <c r="D331" s="14">
        <v>3.3</v>
      </c>
      <c r="E331" s="14">
        <v>10.8</v>
      </c>
      <c r="F331" s="14">
        <v>-0.7</v>
      </c>
      <c r="G331" s="68">
        <f t="shared" si="3"/>
        <v>11.5</v>
      </c>
      <c r="H331" s="68">
        <f t="shared" si="2"/>
        <v>4.0500000000000007</v>
      </c>
      <c r="I331" s="82">
        <v>3.2</v>
      </c>
      <c r="J331" s="14">
        <v>4.7007146011158003</v>
      </c>
      <c r="K331" s="14">
        <v>-3.2589332416993599</v>
      </c>
      <c r="L331" s="82">
        <v>3.9648855538262709E-2</v>
      </c>
      <c r="M331" s="88">
        <v>90</v>
      </c>
      <c r="N331" s="24">
        <v>64</v>
      </c>
      <c r="O331" s="84">
        <v>79.933655753968225</v>
      </c>
      <c r="P331" s="122">
        <v>1015.26086558874</v>
      </c>
      <c r="Q331" s="21">
        <v>1012.43747911453</v>
      </c>
      <c r="R331" s="70">
        <v>1013.6182696553725</v>
      </c>
      <c r="S331" s="75">
        <v>2</v>
      </c>
      <c r="T331" s="65">
        <v>1.2785746064491388</v>
      </c>
      <c r="U331" s="25">
        <v>0.4</v>
      </c>
      <c r="V331" s="223" t="s">
        <v>227</v>
      </c>
      <c r="W331" s="226"/>
      <c r="X331" s="26">
        <v>0</v>
      </c>
      <c r="Y331" s="27">
        <v>0</v>
      </c>
      <c r="Z331" s="28">
        <v>0</v>
      </c>
      <c r="AA331" s="30">
        <v>0</v>
      </c>
      <c r="AB331" s="328" t="s">
        <v>247</v>
      </c>
      <c r="AC331" s="29"/>
    </row>
    <row r="332" spans="1:29" s="20" customFormat="1" x14ac:dyDescent="0.3">
      <c r="A332" s="42">
        <v>43795</v>
      </c>
      <c r="B332" s="43">
        <v>0.4</v>
      </c>
      <c r="C332" s="14">
        <v>9.1999999999999993</v>
      </c>
      <c r="D332" s="14">
        <v>0.8</v>
      </c>
      <c r="E332" s="14">
        <v>9.8000000000000007</v>
      </c>
      <c r="F332" s="14">
        <v>-0.5</v>
      </c>
      <c r="G332" s="68">
        <f t="shared" si="3"/>
        <v>10.3</v>
      </c>
      <c r="H332" s="68">
        <f t="shared" si="2"/>
        <v>2.8</v>
      </c>
      <c r="I332" s="82">
        <v>2.2999999999999998</v>
      </c>
      <c r="J332" s="14">
        <v>4.2791626557062798</v>
      </c>
      <c r="K332" s="14">
        <v>-3.02661346817152</v>
      </c>
      <c r="L332" s="82">
        <v>-0.56682940757346301</v>
      </c>
      <c r="M332" s="88">
        <v>89</v>
      </c>
      <c r="N332" s="24">
        <v>66</v>
      </c>
      <c r="O332" s="84">
        <v>81.640873015873012</v>
      </c>
      <c r="P332" s="122">
        <v>1012.93230143304</v>
      </c>
      <c r="Q332" s="21">
        <v>1010.38541267672</v>
      </c>
      <c r="R332" s="70">
        <v>1011.7844010015914</v>
      </c>
      <c r="S332" s="75">
        <v>2.4</v>
      </c>
      <c r="T332" s="65">
        <v>1.7428614747127944</v>
      </c>
      <c r="U332" s="25">
        <v>0.4</v>
      </c>
      <c r="V332" s="223" t="s">
        <v>229</v>
      </c>
      <c r="W332" s="226" t="s">
        <v>438</v>
      </c>
      <c r="X332" s="26">
        <v>0.4</v>
      </c>
      <c r="Y332" s="27">
        <v>0.1</v>
      </c>
      <c r="Z332" s="28">
        <v>0</v>
      </c>
      <c r="AA332" s="30">
        <v>0</v>
      </c>
      <c r="AB332" s="328" t="s">
        <v>247</v>
      </c>
      <c r="AC332" s="29"/>
    </row>
    <row r="333" spans="1:29" s="20" customFormat="1" x14ac:dyDescent="0.3">
      <c r="A333" s="42">
        <v>43796</v>
      </c>
      <c r="B333" s="43">
        <v>3</v>
      </c>
      <c r="C333" s="14">
        <v>6.7</v>
      </c>
      <c r="D333" s="14">
        <v>7.5</v>
      </c>
      <c r="E333" s="14">
        <v>8</v>
      </c>
      <c r="F333" s="14">
        <v>-0.6</v>
      </c>
      <c r="G333" s="68">
        <f t="shared" si="3"/>
        <v>8.6</v>
      </c>
      <c r="H333" s="68">
        <f t="shared" si="2"/>
        <v>6.1749999999999998</v>
      </c>
      <c r="I333" s="82">
        <v>4.8</v>
      </c>
      <c r="J333" s="14">
        <v>5.2752547893905097</v>
      </c>
      <c r="K333" s="14">
        <v>-2.96385261977874</v>
      </c>
      <c r="L333" s="82">
        <v>2.6593398289542529</v>
      </c>
      <c r="M333" s="88">
        <v>91</v>
      </c>
      <c r="N333" s="24">
        <v>74.571428571428598</v>
      </c>
      <c r="O333" s="84">
        <v>84.309833829365076</v>
      </c>
      <c r="P333" s="122">
        <v>1010.37085895614</v>
      </c>
      <c r="Q333" s="21">
        <v>1003.22489469944</v>
      </c>
      <c r="R333" s="70">
        <v>1007.0837898512475</v>
      </c>
      <c r="S333" s="75">
        <v>10.199999999999999</v>
      </c>
      <c r="T333" s="65">
        <v>5.6571569179202088</v>
      </c>
      <c r="U333" s="25">
        <v>2.4</v>
      </c>
      <c r="V333" s="223" t="s">
        <v>230</v>
      </c>
      <c r="W333" s="226" t="s">
        <v>350</v>
      </c>
      <c r="X333" s="26">
        <v>1.2</v>
      </c>
      <c r="Y333" s="27">
        <v>1.2</v>
      </c>
      <c r="Z333" s="28">
        <v>0</v>
      </c>
      <c r="AA333" s="30">
        <v>0</v>
      </c>
      <c r="AB333" s="328" t="s">
        <v>262</v>
      </c>
      <c r="AC333" s="29"/>
    </row>
    <row r="334" spans="1:29" s="20" customFormat="1" x14ac:dyDescent="0.3">
      <c r="A334" s="42">
        <v>43797</v>
      </c>
      <c r="B334" s="43">
        <v>6.3</v>
      </c>
      <c r="C334" s="14">
        <v>8.1</v>
      </c>
      <c r="D334" s="14">
        <v>7.8</v>
      </c>
      <c r="E334" s="14">
        <v>8.4</v>
      </c>
      <c r="F334" s="14">
        <v>6.3</v>
      </c>
      <c r="G334" s="68">
        <f t="shared" si="3"/>
        <v>2.1000000000000005</v>
      </c>
      <c r="H334" s="68">
        <f t="shared" si="2"/>
        <v>7.5</v>
      </c>
      <c r="I334" s="82">
        <v>7.5</v>
      </c>
      <c r="J334" s="14">
        <v>6.0511843444616096</v>
      </c>
      <c r="K334" s="14">
        <v>4.1320492073306996</v>
      </c>
      <c r="L334" s="82">
        <v>5.3087934158164698</v>
      </c>
      <c r="M334" s="88">
        <v>90</v>
      </c>
      <c r="N334" s="24">
        <v>83</v>
      </c>
      <c r="O334" s="84">
        <v>85.955729166666671</v>
      </c>
      <c r="P334" s="122">
        <v>1003.64696277105</v>
      </c>
      <c r="Q334" s="21">
        <v>999.97931572344601</v>
      </c>
      <c r="R334" s="70">
        <v>1001.9734531088429</v>
      </c>
      <c r="S334" s="75">
        <v>7.5</v>
      </c>
      <c r="T334" s="65">
        <v>4.3428679369892498</v>
      </c>
      <c r="U334" s="25">
        <v>1.5</v>
      </c>
      <c r="V334" s="223" t="s">
        <v>230</v>
      </c>
      <c r="W334" s="226" t="s">
        <v>240</v>
      </c>
      <c r="X334" s="26">
        <v>4.8</v>
      </c>
      <c r="Y334" s="27">
        <v>8</v>
      </c>
      <c r="Z334" s="28">
        <v>0</v>
      </c>
      <c r="AA334" s="30">
        <v>0</v>
      </c>
      <c r="AB334" s="328" t="s">
        <v>476</v>
      </c>
      <c r="AC334" s="29"/>
    </row>
    <row r="335" spans="1:29" s="20" customFormat="1" x14ac:dyDescent="0.3">
      <c r="A335" s="42">
        <v>43798</v>
      </c>
      <c r="B335" s="43">
        <v>5.2</v>
      </c>
      <c r="C335" s="14">
        <v>7.8</v>
      </c>
      <c r="D335" s="14">
        <v>6.1</v>
      </c>
      <c r="E335" s="14">
        <v>8</v>
      </c>
      <c r="F335" s="14">
        <v>3.9</v>
      </c>
      <c r="G335" s="68">
        <f t="shared" si="3"/>
        <v>4.0999999999999996</v>
      </c>
      <c r="H335" s="68">
        <f t="shared" si="2"/>
        <v>6.3</v>
      </c>
      <c r="I335" s="82">
        <v>6.1</v>
      </c>
      <c r="J335" s="14">
        <v>5.6843848554806504</v>
      </c>
      <c r="K335" s="14">
        <v>1.1204394253565699</v>
      </c>
      <c r="L335" s="82">
        <v>4.0261582506231033</v>
      </c>
      <c r="M335" s="88">
        <v>90</v>
      </c>
      <c r="N335" s="24">
        <v>79</v>
      </c>
      <c r="O335" s="84">
        <v>87.398189484126974</v>
      </c>
      <c r="P335" s="122">
        <v>1008.43520818346</v>
      </c>
      <c r="Q335" s="21">
        <v>1001.09999071726</v>
      </c>
      <c r="R335" s="70">
        <v>1003.5213125146284</v>
      </c>
      <c r="S335" s="75">
        <v>7.1</v>
      </c>
      <c r="T335" s="65">
        <v>3.1500078292964862</v>
      </c>
      <c r="U335" s="25">
        <v>0.7</v>
      </c>
      <c r="V335" s="223" t="s">
        <v>236</v>
      </c>
      <c r="W335" s="226" t="s">
        <v>240</v>
      </c>
      <c r="X335" s="26">
        <v>10.8</v>
      </c>
      <c r="Y335" s="27">
        <v>1.9</v>
      </c>
      <c r="Z335" s="28">
        <v>0</v>
      </c>
      <c r="AA335" s="30">
        <v>0</v>
      </c>
      <c r="AB335" s="328" t="s">
        <v>262</v>
      </c>
      <c r="AC335" s="29"/>
    </row>
    <row r="336" spans="1:29" s="322" customFormat="1" ht="15" thickBot="1" x14ac:dyDescent="0.35">
      <c r="A336" s="42">
        <v>43799</v>
      </c>
      <c r="B336" s="44">
        <v>2.2000000000000002</v>
      </c>
      <c r="C336" s="22">
        <v>3.9</v>
      </c>
      <c r="D336" s="22">
        <v>-3.2</v>
      </c>
      <c r="E336" s="22">
        <v>5.7</v>
      </c>
      <c r="F336" s="22">
        <v>-4.3</v>
      </c>
      <c r="G336" s="320">
        <f t="shared" si="3"/>
        <v>10</v>
      </c>
      <c r="H336" s="320">
        <f t="shared" si="2"/>
        <v>-7.5000000000000178E-2</v>
      </c>
      <c r="I336" s="83">
        <v>1.5</v>
      </c>
      <c r="J336" s="22">
        <v>1.1204394253565699</v>
      </c>
      <c r="K336" s="22">
        <v>-8.5402370867916506</v>
      </c>
      <c r="L336" s="83">
        <v>-4.4967804909284474</v>
      </c>
      <c r="M336" s="89">
        <v>86</v>
      </c>
      <c r="N336" s="71">
        <v>49.25</v>
      </c>
      <c r="O336" s="85">
        <v>66.568204365079339</v>
      </c>
      <c r="P336" s="123">
        <v>1023.74541161</v>
      </c>
      <c r="Q336" s="72">
        <v>1008.50797725508</v>
      </c>
      <c r="R336" s="73">
        <v>1017.2484872286158</v>
      </c>
      <c r="S336" s="77">
        <v>9.5</v>
      </c>
      <c r="T336" s="67">
        <v>5.6857284175056666</v>
      </c>
      <c r="U336" s="45">
        <v>1.9</v>
      </c>
      <c r="V336" s="227" t="s">
        <v>227</v>
      </c>
      <c r="W336" s="228" t="s">
        <v>211</v>
      </c>
      <c r="X336" s="47">
        <v>0</v>
      </c>
      <c r="Y336" s="48">
        <v>0</v>
      </c>
      <c r="Z336" s="49">
        <v>0</v>
      </c>
      <c r="AA336" s="50">
        <v>0</v>
      </c>
      <c r="AB336" s="329" t="s">
        <v>258</v>
      </c>
      <c r="AC336" s="321"/>
    </row>
    <row r="337" spans="1:29" x14ac:dyDescent="0.3">
      <c r="A337" s="42">
        <v>43800</v>
      </c>
      <c r="B337" s="79">
        <v>-6.8</v>
      </c>
      <c r="C337" s="32">
        <v>3.9</v>
      </c>
      <c r="D337" s="32">
        <v>-1.7</v>
      </c>
      <c r="E337" s="32">
        <v>3.9</v>
      </c>
      <c r="F337" s="32">
        <v>-6.8</v>
      </c>
      <c r="G337" s="80">
        <f t="shared" si="3"/>
        <v>10.7</v>
      </c>
      <c r="H337" s="80">
        <f t="shared" si="2"/>
        <v>-1.575</v>
      </c>
      <c r="I337" s="87">
        <v>-1.6</v>
      </c>
      <c r="J337" s="32">
        <v>-3.4342417616544298</v>
      </c>
      <c r="K337" s="32">
        <v>-10.6454809543014</v>
      </c>
      <c r="L337" s="87">
        <v>-7.1484261670865221</v>
      </c>
      <c r="M337" s="119">
        <v>80</v>
      </c>
      <c r="N337" s="33">
        <v>52</v>
      </c>
      <c r="O337" s="114">
        <v>66.401930390211632</v>
      </c>
      <c r="P337" s="124">
        <v>1025.43355914173</v>
      </c>
      <c r="Q337" s="34">
        <v>1022.02814799493</v>
      </c>
      <c r="R337" s="74">
        <v>1024.0934139632573</v>
      </c>
      <c r="S337" s="116">
        <v>7.1</v>
      </c>
      <c r="T337" s="115">
        <v>4.6642973073256249</v>
      </c>
      <c r="U337" s="35">
        <v>1.3</v>
      </c>
      <c r="V337" s="221" t="s">
        <v>226</v>
      </c>
      <c r="W337" s="229" t="s">
        <v>211</v>
      </c>
      <c r="X337" s="109">
        <v>0</v>
      </c>
      <c r="Y337" s="110">
        <v>0</v>
      </c>
      <c r="Z337" s="111">
        <v>0</v>
      </c>
      <c r="AA337" s="117">
        <v>0</v>
      </c>
      <c r="AB337" s="326" t="s">
        <v>477</v>
      </c>
      <c r="AC337"/>
    </row>
    <row r="338" spans="1:29" x14ac:dyDescent="0.3">
      <c r="A338" s="42">
        <v>43801</v>
      </c>
      <c r="B338" s="43">
        <v>-1.4</v>
      </c>
      <c r="C338" s="14">
        <v>-0.3</v>
      </c>
      <c r="D338" s="14">
        <v>-2.1</v>
      </c>
      <c r="E338" s="14">
        <v>-0.2</v>
      </c>
      <c r="F338" s="14">
        <v>-5</v>
      </c>
      <c r="G338" s="80">
        <f t="shared" si="3"/>
        <v>4.8</v>
      </c>
      <c r="H338" s="80">
        <f t="shared" si="2"/>
        <v>-1.4750000000000001</v>
      </c>
      <c r="I338" s="82">
        <v>-1.5</v>
      </c>
      <c r="J338" s="14">
        <v>-3.2270471660455802</v>
      </c>
      <c r="K338" s="14">
        <v>-9.2043599062773005</v>
      </c>
      <c r="L338" s="82">
        <v>-5.1972094217300846</v>
      </c>
      <c r="M338" s="88">
        <v>81</v>
      </c>
      <c r="N338" s="24">
        <v>66</v>
      </c>
      <c r="O338" s="84">
        <v>76.718625992063494</v>
      </c>
      <c r="P338" s="122">
        <v>1021.89716985647</v>
      </c>
      <c r="Q338" s="21">
        <v>1016.35055435447</v>
      </c>
      <c r="R338" s="70">
        <v>1018.2300615604906</v>
      </c>
      <c r="S338" s="75">
        <v>5.0999999999999996</v>
      </c>
      <c r="T338" s="65">
        <v>3.1428649544001246</v>
      </c>
      <c r="U338" s="25">
        <v>0.7</v>
      </c>
      <c r="V338" s="223" t="s">
        <v>236</v>
      </c>
      <c r="W338" s="224" t="s">
        <v>206</v>
      </c>
      <c r="X338" s="16">
        <v>1.2</v>
      </c>
      <c r="Y338" s="17">
        <v>3.9</v>
      </c>
      <c r="Z338" s="18">
        <v>5</v>
      </c>
      <c r="AA338" s="46">
        <v>5</v>
      </c>
      <c r="AB338" s="327" t="s">
        <v>212</v>
      </c>
      <c r="AC338"/>
    </row>
    <row r="339" spans="1:29" x14ac:dyDescent="0.3">
      <c r="A339" s="42">
        <v>43802</v>
      </c>
      <c r="B339" s="43">
        <v>-4</v>
      </c>
      <c r="C339" s="14">
        <v>0.4</v>
      </c>
      <c r="D339" s="14">
        <v>-5.6</v>
      </c>
      <c r="E339" s="14">
        <v>0.7</v>
      </c>
      <c r="F339" s="14">
        <v>-6.5</v>
      </c>
      <c r="G339" s="80">
        <f t="shared" si="3"/>
        <v>7.2</v>
      </c>
      <c r="H339" s="80">
        <f t="shared" si="2"/>
        <v>-3.6999999999999997</v>
      </c>
      <c r="I339" s="82">
        <v>-3.7</v>
      </c>
      <c r="J339" s="14">
        <v>-2.5959705095809502</v>
      </c>
      <c r="K339" s="14">
        <v>-9.9925959266229007</v>
      </c>
      <c r="L339" s="82">
        <v>-7.0302070977365281</v>
      </c>
      <c r="M339" s="88">
        <v>81</v>
      </c>
      <c r="N339" s="24">
        <v>73</v>
      </c>
      <c r="O339" s="84">
        <v>77.775297619047635</v>
      </c>
      <c r="P339" s="122">
        <v>1028.76616637296</v>
      </c>
      <c r="Q339" s="21">
        <v>1019.55410621464</v>
      </c>
      <c r="R339" s="70">
        <v>1024.3864171656955</v>
      </c>
      <c r="S339" s="75">
        <v>3.4</v>
      </c>
      <c r="T339" s="65">
        <v>1.9303619407423458</v>
      </c>
      <c r="U339" s="25">
        <v>0.4</v>
      </c>
      <c r="V339" s="223" t="s">
        <v>235</v>
      </c>
      <c r="W339" s="224" t="s">
        <v>211</v>
      </c>
      <c r="X339" s="16">
        <v>0</v>
      </c>
      <c r="Y339" s="17">
        <v>0</v>
      </c>
      <c r="Z339" s="18">
        <v>0</v>
      </c>
      <c r="AA339" s="46">
        <v>4.5</v>
      </c>
      <c r="AB339" s="327" t="s">
        <v>209</v>
      </c>
      <c r="AC339"/>
    </row>
    <row r="340" spans="1:29" x14ac:dyDescent="0.3">
      <c r="A340" s="42">
        <v>43803</v>
      </c>
      <c r="B340" s="43">
        <v>-5</v>
      </c>
      <c r="C340" s="14">
        <v>-1.3</v>
      </c>
      <c r="D340" s="14">
        <v>-1.7</v>
      </c>
      <c r="E340" s="14">
        <v>-1.3</v>
      </c>
      <c r="F340" s="14">
        <v>-7.1</v>
      </c>
      <c r="G340" s="80">
        <f t="shared" si="3"/>
        <v>5.8</v>
      </c>
      <c r="H340" s="80">
        <f t="shared" si="2"/>
        <v>-2.4249999999999998</v>
      </c>
      <c r="I340" s="82">
        <v>-3.4</v>
      </c>
      <c r="J340" s="14">
        <v>-4.2040076307884604</v>
      </c>
      <c r="K340" s="14">
        <v>-10.4366770478309</v>
      </c>
      <c r="L340" s="82">
        <v>-6.4441728236266416</v>
      </c>
      <c r="M340" s="88">
        <v>82</v>
      </c>
      <c r="N340" s="24">
        <v>75</v>
      </c>
      <c r="O340" s="84">
        <v>78.458767361111114</v>
      </c>
      <c r="P340" s="122">
        <v>1030.48339014872</v>
      </c>
      <c r="Q340" s="21">
        <v>1028.33322063677</v>
      </c>
      <c r="R340" s="70">
        <v>1029.5098412393509</v>
      </c>
      <c r="S340" s="76">
        <v>7.1</v>
      </c>
      <c r="T340" s="66">
        <v>3.9785813172746947</v>
      </c>
      <c r="U340" s="19">
        <v>1.5</v>
      </c>
      <c r="V340" s="223" t="s">
        <v>271</v>
      </c>
      <c r="W340" s="225" t="s">
        <v>211</v>
      </c>
      <c r="X340" s="16">
        <v>0</v>
      </c>
      <c r="Y340" s="17">
        <v>0</v>
      </c>
      <c r="Z340" s="18">
        <v>0</v>
      </c>
      <c r="AA340" s="46">
        <v>4</v>
      </c>
      <c r="AB340" s="327" t="s">
        <v>212</v>
      </c>
      <c r="AC340"/>
    </row>
    <row r="341" spans="1:29" x14ac:dyDescent="0.3">
      <c r="A341" s="42">
        <v>43804</v>
      </c>
      <c r="B341" s="43">
        <v>-3</v>
      </c>
      <c r="C341" s="14">
        <v>-1.4</v>
      </c>
      <c r="D341" s="14">
        <v>-3.3</v>
      </c>
      <c r="E341" s="14">
        <v>-1.1000000000000001</v>
      </c>
      <c r="F341" s="14">
        <v>-4</v>
      </c>
      <c r="G341" s="68">
        <f t="shared" si="3"/>
        <v>2.9</v>
      </c>
      <c r="H341" s="68">
        <f t="shared" si="2"/>
        <v>-2.75</v>
      </c>
      <c r="I341" s="82">
        <v>-2.8</v>
      </c>
      <c r="J341" s="14">
        <v>-5.1843332894789196</v>
      </c>
      <c r="K341" s="14">
        <v>-8.0561842352866098</v>
      </c>
      <c r="L341" s="82">
        <v>-6.466506087733066</v>
      </c>
      <c r="M341" s="88">
        <v>80</v>
      </c>
      <c r="N341" s="24">
        <v>72</v>
      </c>
      <c r="O341" s="84">
        <v>76.230457042957042</v>
      </c>
      <c r="P341" s="122">
        <v>1030.1341251096301</v>
      </c>
      <c r="Q341" s="21">
        <v>1024.90965233354</v>
      </c>
      <c r="R341" s="70">
        <v>1027.6756803031651</v>
      </c>
      <c r="S341" s="75">
        <v>6.8</v>
      </c>
      <c r="T341" s="65">
        <v>3.864295318932875</v>
      </c>
      <c r="U341" s="25">
        <v>1.8</v>
      </c>
      <c r="V341" s="223" t="s">
        <v>271</v>
      </c>
      <c r="W341" s="225" t="s">
        <v>211</v>
      </c>
      <c r="X341" s="16">
        <v>0</v>
      </c>
      <c r="Y341" s="17">
        <v>0</v>
      </c>
      <c r="Z341" s="18">
        <v>0</v>
      </c>
      <c r="AA341" s="46">
        <v>3.7</v>
      </c>
      <c r="AB341" s="327" t="s">
        <v>212</v>
      </c>
      <c r="AC341"/>
    </row>
    <row r="342" spans="1:29" x14ac:dyDescent="0.3">
      <c r="A342" s="42">
        <v>43805</v>
      </c>
      <c r="B342" s="43">
        <v>-4.2</v>
      </c>
      <c r="C342" s="14">
        <v>-2</v>
      </c>
      <c r="D342" s="14">
        <v>-2.2999999999999998</v>
      </c>
      <c r="E342" s="14">
        <v>-1.3</v>
      </c>
      <c r="F342" s="14">
        <v>-4.9000000000000004</v>
      </c>
      <c r="G342" s="68">
        <f t="shared" si="3"/>
        <v>3.6000000000000005</v>
      </c>
      <c r="H342" s="68">
        <f t="shared" si="2"/>
        <v>-2.7</v>
      </c>
      <c r="I342" s="82">
        <v>-2.9</v>
      </c>
      <c r="J342" s="14">
        <v>-5.8723500627972296</v>
      </c>
      <c r="K342" s="14">
        <v>-8.6232210087521892</v>
      </c>
      <c r="L342" s="82">
        <v>-6.6928583449685242</v>
      </c>
      <c r="M342" s="88">
        <v>79</v>
      </c>
      <c r="N342" s="24">
        <v>70</v>
      </c>
      <c r="O342" s="84">
        <v>74.760664682539684</v>
      </c>
      <c r="P342" s="122">
        <v>1024.99697021159</v>
      </c>
      <c r="Q342" s="21">
        <v>1018.56630271323</v>
      </c>
      <c r="R342" s="70">
        <v>1022.1789605323941</v>
      </c>
      <c r="S342" s="75">
        <v>9.5</v>
      </c>
      <c r="T342" s="65">
        <v>5.0714411764183751</v>
      </c>
      <c r="U342" s="25">
        <v>2.7</v>
      </c>
      <c r="V342" s="223" t="s">
        <v>230</v>
      </c>
      <c r="W342" s="225"/>
      <c r="X342" s="16">
        <v>0</v>
      </c>
      <c r="Y342" s="17">
        <v>0</v>
      </c>
      <c r="Z342" s="18">
        <v>0</v>
      </c>
      <c r="AA342" s="46">
        <v>3.1</v>
      </c>
      <c r="AB342" s="327" t="s">
        <v>212</v>
      </c>
      <c r="AC342"/>
    </row>
    <row r="343" spans="1:29" x14ac:dyDescent="0.3">
      <c r="A343" s="42">
        <v>43806</v>
      </c>
      <c r="B343" s="43">
        <v>-2</v>
      </c>
      <c r="C343" s="14">
        <v>-1.1000000000000001</v>
      </c>
      <c r="D343" s="14">
        <v>-1.2</v>
      </c>
      <c r="E343" s="14">
        <v>-0.7</v>
      </c>
      <c r="F343" s="14">
        <v>-2.6</v>
      </c>
      <c r="G343" s="68">
        <f t="shared" si="3"/>
        <v>1.9000000000000001</v>
      </c>
      <c r="H343" s="68">
        <f t="shared" si="2"/>
        <v>-1.375</v>
      </c>
      <c r="I343" s="82">
        <v>-1.6</v>
      </c>
      <c r="J343" s="14">
        <v>-3.9390501713495398</v>
      </c>
      <c r="K343" s="14">
        <v>-6.2955335118244902</v>
      </c>
      <c r="L343" s="82">
        <v>-5.3329318540144213</v>
      </c>
      <c r="M343" s="88">
        <v>81</v>
      </c>
      <c r="N343" s="24">
        <v>70</v>
      </c>
      <c r="O343" s="84">
        <v>75.190972222222229</v>
      </c>
      <c r="P343" s="122">
        <v>1018.52082365121</v>
      </c>
      <c r="Q343" s="21">
        <v>1014.60595882263</v>
      </c>
      <c r="R343" s="70">
        <v>1016.2651841587665</v>
      </c>
      <c r="S343" s="75">
        <v>8.1999999999999993</v>
      </c>
      <c r="T343" s="65">
        <v>4.600011433258361</v>
      </c>
      <c r="U343" s="25">
        <v>2.7</v>
      </c>
      <c r="V343" s="223" t="s">
        <v>230</v>
      </c>
      <c r="W343" s="225"/>
      <c r="X343" s="16">
        <v>0</v>
      </c>
      <c r="Y343" s="17">
        <v>0</v>
      </c>
      <c r="Z343" s="18">
        <v>0</v>
      </c>
      <c r="AA343" s="46">
        <v>2.5</v>
      </c>
      <c r="AB343" s="327" t="s">
        <v>224</v>
      </c>
      <c r="AC343"/>
    </row>
    <row r="344" spans="1:29" x14ac:dyDescent="0.3">
      <c r="A344" s="42">
        <v>43807</v>
      </c>
      <c r="B344" s="43">
        <v>-0.5</v>
      </c>
      <c r="C344" s="14">
        <v>0.7</v>
      </c>
      <c r="D344" s="14">
        <v>2.1</v>
      </c>
      <c r="E344" s="14">
        <v>2.6</v>
      </c>
      <c r="F344" s="14">
        <v>-1.2</v>
      </c>
      <c r="G344" s="68">
        <f t="shared" si="3"/>
        <v>3.8</v>
      </c>
      <c r="H344" s="68">
        <f t="shared" si="2"/>
        <v>1.1000000000000001</v>
      </c>
      <c r="I344" s="82">
        <v>0.4</v>
      </c>
      <c r="J344" s="14">
        <v>0.51945236628373304</v>
      </c>
      <c r="K344" s="14">
        <v>-3.9390501713495398</v>
      </c>
      <c r="L344" s="82">
        <v>-2.1393029601174591</v>
      </c>
      <c r="M344" s="88">
        <v>85</v>
      </c>
      <c r="N344" s="24">
        <v>81</v>
      </c>
      <c r="O344" s="84">
        <v>81.939112103174594</v>
      </c>
      <c r="P344" s="122">
        <v>1018.25886409923</v>
      </c>
      <c r="Q344" s="21">
        <v>1009.77415596977</v>
      </c>
      <c r="R344" s="70">
        <v>1014.9369695293701</v>
      </c>
      <c r="S344" s="75">
        <v>13.9</v>
      </c>
      <c r="T344" s="65">
        <v>8.8857363710766943</v>
      </c>
      <c r="U344" s="25">
        <v>3.6</v>
      </c>
      <c r="V344" s="223" t="s">
        <v>230</v>
      </c>
      <c r="W344" s="225"/>
      <c r="X344" s="16">
        <v>0</v>
      </c>
      <c r="Y344" s="17">
        <v>0</v>
      </c>
      <c r="Z344" s="18">
        <v>0</v>
      </c>
      <c r="AA344" s="46">
        <v>2.2000000000000002</v>
      </c>
      <c r="AB344" s="327" t="s">
        <v>224</v>
      </c>
      <c r="AC344"/>
    </row>
    <row r="345" spans="1:29" x14ac:dyDescent="0.3">
      <c r="A345" s="42">
        <v>43808</v>
      </c>
      <c r="B345" s="43">
        <v>3.4</v>
      </c>
      <c r="C345" s="14">
        <v>4.4000000000000004</v>
      </c>
      <c r="D345" s="14">
        <v>3.4</v>
      </c>
      <c r="E345" s="14">
        <v>4.5</v>
      </c>
      <c r="F345" s="14">
        <v>2.6</v>
      </c>
      <c r="G345" s="68">
        <f t="shared" si="3"/>
        <v>1.9</v>
      </c>
      <c r="H345" s="68">
        <f t="shared" si="2"/>
        <v>3.6500000000000004</v>
      </c>
      <c r="I345" s="82">
        <v>3.5</v>
      </c>
      <c r="J345" s="14">
        <v>1.81042980632999</v>
      </c>
      <c r="K345" s="14">
        <v>0.53171773812839696</v>
      </c>
      <c r="L345" s="82">
        <v>1.090985980900177</v>
      </c>
      <c r="M345" s="88">
        <v>86</v>
      </c>
      <c r="N345" s="24">
        <v>82</v>
      </c>
      <c r="O345" s="84">
        <v>84.052269345238088</v>
      </c>
      <c r="P345" s="122">
        <v>1009.77415598018</v>
      </c>
      <c r="Q345" s="21">
        <v>1007.64930109924</v>
      </c>
      <c r="R345" s="70">
        <v>1008.7025644392311</v>
      </c>
      <c r="S345" s="75">
        <v>12.2</v>
      </c>
      <c r="T345" s="65">
        <v>7.0178745856775411</v>
      </c>
      <c r="U345" s="25">
        <v>2.7</v>
      </c>
      <c r="V345" s="223" t="s">
        <v>230</v>
      </c>
      <c r="W345" s="225" t="s">
        <v>240</v>
      </c>
      <c r="X345" s="16">
        <v>3.6</v>
      </c>
      <c r="Y345" s="17">
        <v>7.1</v>
      </c>
      <c r="Z345" s="18">
        <v>0</v>
      </c>
      <c r="AA345" s="46">
        <v>1</v>
      </c>
      <c r="AB345" s="327" t="s">
        <v>224</v>
      </c>
      <c r="AC345"/>
    </row>
    <row r="346" spans="1:29" x14ac:dyDescent="0.3">
      <c r="A346" s="42">
        <v>43809</v>
      </c>
      <c r="B346" s="43">
        <v>2.8</v>
      </c>
      <c r="C346" s="14">
        <v>5.3</v>
      </c>
      <c r="D346" s="14">
        <v>0.2</v>
      </c>
      <c r="E346" s="14">
        <v>5.4</v>
      </c>
      <c r="F346" s="14">
        <v>-0.9</v>
      </c>
      <c r="G346" s="68">
        <f t="shared" si="3"/>
        <v>6.3000000000000007</v>
      </c>
      <c r="H346" s="68">
        <f t="shared" si="2"/>
        <v>2.125</v>
      </c>
      <c r="I346" s="82">
        <v>2.8</v>
      </c>
      <c r="J346" s="14">
        <v>3.4380676466818501</v>
      </c>
      <c r="K346" s="14">
        <v>-5.4876198173948199</v>
      </c>
      <c r="L346" s="82">
        <v>-0.57976238397481827</v>
      </c>
      <c r="M346" s="88">
        <v>89</v>
      </c>
      <c r="N346" s="24">
        <v>64</v>
      </c>
      <c r="O346" s="84">
        <v>79.222594246031733</v>
      </c>
      <c r="P346" s="122">
        <v>1023.07415193108</v>
      </c>
      <c r="Q346" s="21">
        <v>1009.39757755576</v>
      </c>
      <c r="R346" s="70">
        <v>1016.8651087776759</v>
      </c>
      <c r="S346" s="75">
        <v>7.1</v>
      </c>
      <c r="T346" s="65">
        <v>4.2285819386474301</v>
      </c>
      <c r="U346" s="25">
        <v>0.9</v>
      </c>
      <c r="V346" s="223" t="s">
        <v>227</v>
      </c>
      <c r="W346" s="225" t="s">
        <v>240</v>
      </c>
      <c r="X346" s="16">
        <v>1.2</v>
      </c>
      <c r="Y346" s="17">
        <v>1.9</v>
      </c>
      <c r="Z346" s="18">
        <v>0</v>
      </c>
      <c r="AA346" s="46">
        <v>0</v>
      </c>
      <c r="AB346" s="327" t="s">
        <v>239</v>
      </c>
      <c r="AC346"/>
    </row>
    <row r="347" spans="1:29" x14ac:dyDescent="0.3">
      <c r="A347" s="42">
        <v>43810</v>
      </c>
      <c r="B347" s="43">
        <v>0.9</v>
      </c>
      <c r="C347" s="14">
        <v>4.9000000000000004</v>
      </c>
      <c r="D347" s="14">
        <v>-3.5</v>
      </c>
      <c r="E347" s="14">
        <v>5.0999999999999996</v>
      </c>
      <c r="F347" s="14">
        <v>-4.0999999999999996</v>
      </c>
      <c r="G347" s="68">
        <f t="shared" si="3"/>
        <v>9.1999999999999993</v>
      </c>
      <c r="H347" s="68">
        <f t="shared" si="2"/>
        <v>-0.29999999999999982</v>
      </c>
      <c r="I347" s="82">
        <v>0.8</v>
      </c>
      <c r="J347" s="14">
        <v>-1.36916232926072</v>
      </c>
      <c r="K347" s="14">
        <v>-7.86257243991487</v>
      </c>
      <c r="L347" s="82">
        <v>-4.2905336697646979</v>
      </c>
      <c r="M347" s="88">
        <v>79</v>
      </c>
      <c r="N347" s="24">
        <v>56</v>
      </c>
      <c r="O347" s="84">
        <v>69.786210317460345</v>
      </c>
      <c r="P347" s="122">
        <v>1022.4065289965801</v>
      </c>
      <c r="Q347" s="21">
        <v>1012.04453135527</v>
      </c>
      <c r="R347" s="70">
        <v>1017.3909757307041</v>
      </c>
      <c r="S347" s="75">
        <v>4.8</v>
      </c>
      <c r="T347" s="65">
        <v>2.6285779618619221</v>
      </c>
      <c r="U347" s="25">
        <v>0.9</v>
      </c>
      <c r="V347" s="223" t="s">
        <v>227</v>
      </c>
      <c r="W347" s="225"/>
      <c r="X347" s="16">
        <v>0</v>
      </c>
      <c r="Y347" s="17">
        <v>0</v>
      </c>
      <c r="Z347" s="18">
        <v>0</v>
      </c>
      <c r="AA347" s="46">
        <v>0</v>
      </c>
      <c r="AB347" s="327" t="s">
        <v>478</v>
      </c>
      <c r="AC347"/>
    </row>
    <row r="348" spans="1:29" x14ac:dyDescent="0.3">
      <c r="A348" s="42">
        <v>43811</v>
      </c>
      <c r="B348" s="43">
        <v>-1.4</v>
      </c>
      <c r="C348" s="14">
        <v>3.2</v>
      </c>
      <c r="D348" s="14">
        <v>0.3</v>
      </c>
      <c r="E348" s="14">
        <v>3.3</v>
      </c>
      <c r="F348" s="14">
        <v>-3.6</v>
      </c>
      <c r="G348" s="68">
        <f t="shared" si="3"/>
        <v>6.9</v>
      </c>
      <c r="H348" s="68">
        <f t="shared" si="2"/>
        <v>0.60000000000000009</v>
      </c>
      <c r="I348" s="82">
        <v>0.1</v>
      </c>
      <c r="J348" s="14">
        <v>1.1848006763441099</v>
      </c>
      <c r="K348" s="14">
        <v>-6.9184350880738901</v>
      </c>
      <c r="L348" s="82">
        <v>-2.3263512005449116</v>
      </c>
      <c r="M348" s="88">
        <v>86</v>
      </c>
      <c r="N348" s="24">
        <v>77.714285714285694</v>
      </c>
      <c r="O348" s="84">
        <v>82.81845238095238</v>
      </c>
      <c r="P348" s="122">
        <v>1012.1027458738801</v>
      </c>
      <c r="Q348" s="21">
        <v>1001.69671193034</v>
      </c>
      <c r="R348" s="70">
        <v>1007.6428573174362</v>
      </c>
      <c r="S348" s="75">
        <v>2</v>
      </c>
      <c r="T348" s="65">
        <v>1.1714314830036805</v>
      </c>
      <c r="U348" s="25">
        <v>0.4</v>
      </c>
      <c r="V348" s="223" t="s">
        <v>229</v>
      </c>
      <c r="W348" s="225" t="s">
        <v>240</v>
      </c>
      <c r="X348" s="16">
        <v>1.2</v>
      </c>
      <c r="Y348" s="17">
        <v>4</v>
      </c>
      <c r="Z348" s="18">
        <v>0</v>
      </c>
      <c r="AA348" s="46">
        <v>0</v>
      </c>
      <c r="AB348" s="327" t="s">
        <v>257</v>
      </c>
      <c r="AC348"/>
    </row>
    <row r="349" spans="1:29" x14ac:dyDescent="0.3">
      <c r="A349" s="42">
        <v>43812</v>
      </c>
      <c r="B349" s="43">
        <v>4</v>
      </c>
      <c r="C349" s="14">
        <v>5.2</v>
      </c>
      <c r="D349" s="14">
        <v>5.7</v>
      </c>
      <c r="E349" s="14">
        <v>5.9</v>
      </c>
      <c r="F349" s="14">
        <v>0.7</v>
      </c>
      <c r="G349" s="68">
        <f t="shared" si="3"/>
        <v>5.2</v>
      </c>
      <c r="H349" s="68">
        <f t="shared" si="2"/>
        <v>5.15</v>
      </c>
      <c r="I349" s="82">
        <v>4.2</v>
      </c>
      <c r="J349" s="14">
        <v>3.0646824683605498</v>
      </c>
      <c r="K349" s="14">
        <v>-1.33275039444813</v>
      </c>
      <c r="L349" s="82">
        <v>1.8462978559195473</v>
      </c>
      <c r="M349" s="88">
        <v>88</v>
      </c>
      <c r="N349" s="24">
        <v>81</v>
      </c>
      <c r="O349" s="84">
        <v>84.05735367063491</v>
      </c>
      <c r="P349" s="122">
        <v>1001.6384952965</v>
      </c>
      <c r="Q349" s="21">
        <v>992.64387811073004</v>
      </c>
      <c r="R349" s="70">
        <v>995.26979089593056</v>
      </c>
      <c r="S349" s="75">
        <v>12.6</v>
      </c>
      <c r="T349" s="65">
        <v>8.7857361225276112</v>
      </c>
      <c r="U349" s="25">
        <v>3</v>
      </c>
      <c r="V349" s="223" t="s">
        <v>230</v>
      </c>
      <c r="W349" s="226" t="s">
        <v>240</v>
      </c>
      <c r="X349" s="26">
        <v>2.4</v>
      </c>
      <c r="Y349" s="27">
        <v>4.3</v>
      </c>
      <c r="Z349" s="28">
        <v>0</v>
      </c>
      <c r="AA349" s="30">
        <v>0</v>
      </c>
      <c r="AB349" s="328" t="s">
        <v>248</v>
      </c>
      <c r="AC349"/>
    </row>
    <row r="350" spans="1:29" x14ac:dyDescent="0.3">
      <c r="A350" s="42">
        <v>43813</v>
      </c>
      <c r="B350" s="43">
        <v>1.4</v>
      </c>
      <c r="C350" s="14">
        <v>5.3</v>
      </c>
      <c r="D350" s="14">
        <v>4.9000000000000004</v>
      </c>
      <c r="E350" s="14">
        <v>5.8</v>
      </c>
      <c r="F350" s="14">
        <v>0.4</v>
      </c>
      <c r="G350" s="68">
        <f t="shared" si="3"/>
        <v>5.3999999999999995</v>
      </c>
      <c r="H350" s="68">
        <f t="shared" si="2"/>
        <v>4.125</v>
      </c>
      <c r="I350" s="82">
        <v>3.6</v>
      </c>
      <c r="J350" s="14">
        <v>3.8324856839660901</v>
      </c>
      <c r="K350" s="14">
        <v>-2.5537890083054702</v>
      </c>
      <c r="L350" s="82">
        <v>0.94895320123839155</v>
      </c>
      <c r="M350" s="88">
        <v>89</v>
      </c>
      <c r="N350" s="24">
        <v>78</v>
      </c>
      <c r="O350" s="84">
        <v>83.74299355158729</v>
      </c>
      <c r="P350" s="122">
        <v>1006.38311290814</v>
      </c>
      <c r="Q350" s="21">
        <v>994.46320097772104</v>
      </c>
      <c r="R350" s="70">
        <v>998.21917091843795</v>
      </c>
      <c r="S350" s="75">
        <v>8.5</v>
      </c>
      <c r="T350" s="65">
        <v>5.540192341492264</v>
      </c>
      <c r="U350" s="25">
        <v>1.1000000000000001</v>
      </c>
      <c r="V350" s="223" t="s">
        <v>230</v>
      </c>
      <c r="W350" s="226" t="s">
        <v>240</v>
      </c>
      <c r="X350" s="26">
        <v>2.4</v>
      </c>
      <c r="Y350" s="27">
        <v>3</v>
      </c>
      <c r="Z350" s="28">
        <v>0</v>
      </c>
      <c r="AA350" s="30">
        <v>0</v>
      </c>
      <c r="AB350" s="328" t="s">
        <v>479</v>
      </c>
    </row>
    <row r="351" spans="1:29" x14ac:dyDescent="0.3">
      <c r="A351" s="42">
        <v>43814</v>
      </c>
      <c r="B351" s="43">
        <v>-0.2</v>
      </c>
      <c r="C351" s="14">
        <v>3.7</v>
      </c>
      <c r="D351" s="14">
        <v>5.2</v>
      </c>
      <c r="E351" s="14">
        <v>5.6</v>
      </c>
      <c r="F351" s="14">
        <v>-0.7</v>
      </c>
      <c r="G351" s="68">
        <f t="shared" si="3"/>
        <v>6.3</v>
      </c>
      <c r="H351" s="68">
        <f t="shared" si="2"/>
        <v>3.4750000000000001</v>
      </c>
      <c r="I351" s="82">
        <v>2.4</v>
      </c>
      <c r="J351" s="14">
        <v>2.5013527265967199</v>
      </c>
      <c r="K351" s="14">
        <v>-3.18911471455068</v>
      </c>
      <c r="L351" s="82">
        <v>-0.11380886911626265</v>
      </c>
      <c r="M351" s="88">
        <v>87</v>
      </c>
      <c r="N351" s="24">
        <v>80</v>
      </c>
      <c r="O351" s="84">
        <v>82.466201186356898</v>
      </c>
      <c r="P351" s="122">
        <v>1016.19228595273</v>
      </c>
      <c r="Q351" s="21">
        <v>1006.2812354510201</v>
      </c>
      <c r="R351" s="70">
        <v>1011.8817936199056</v>
      </c>
      <c r="S351" s="75">
        <v>10.5</v>
      </c>
      <c r="T351" s="65">
        <v>6.7643025268566106</v>
      </c>
      <c r="U351" s="25">
        <v>2.4</v>
      </c>
      <c r="V351" s="223" t="s">
        <v>226</v>
      </c>
      <c r="W351" s="226" t="s">
        <v>438</v>
      </c>
      <c r="X351" s="26">
        <v>0.4</v>
      </c>
      <c r="Y351" s="27">
        <v>0.2</v>
      </c>
      <c r="Z351" s="28">
        <v>0</v>
      </c>
      <c r="AA351" s="30">
        <v>0</v>
      </c>
      <c r="AB351" s="328" t="s">
        <v>479</v>
      </c>
    </row>
    <row r="352" spans="1:29" x14ac:dyDescent="0.3">
      <c r="A352" s="42">
        <v>43815</v>
      </c>
      <c r="B352" s="43">
        <v>3.9</v>
      </c>
      <c r="C352" s="14">
        <v>8.5</v>
      </c>
      <c r="D352" s="14">
        <v>7.9</v>
      </c>
      <c r="E352" s="14">
        <v>8.5</v>
      </c>
      <c r="F352" s="14">
        <v>3.7</v>
      </c>
      <c r="G352" s="68">
        <f t="shared" si="3"/>
        <v>4.8</v>
      </c>
      <c r="H352" s="68">
        <f t="shared" si="2"/>
        <v>7.0500000000000007</v>
      </c>
      <c r="I352" s="82">
        <v>6.2</v>
      </c>
      <c r="J352" s="14">
        <v>4.1927839451216897</v>
      </c>
      <c r="K352" s="14">
        <v>0.70431370120486603</v>
      </c>
      <c r="L352" s="82">
        <v>2.6682874924163893</v>
      </c>
      <c r="M352" s="88">
        <v>89</v>
      </c>
      <c r="N352" s="24">
        <v>68.571428571428598</v>
      </c>
      <c r="O352" s="84">
        <v>78.764756944444457</v>
      </c>
      <c r="P352" s="122">
        <v>1019.80151135328</v>
      </c>
      <c r="Q352" s="21">
        <v>1016.11951883756</v>
      </c>
      <c r="R352" s="70">
        <v>1017.8766986493206</v>
      </c>
      <c r="S352" s="75">
        <v>12.6</v>
      </c>
      <c r="T352" s="65">
        <v>6.9357315243693467</v>
      </c>
      <c r="U352" s="25">
        <v>2.4</v>
      </c>
      <c r="V352" s="223" t="s">
        <v>271</v>
      </c>
      <c r="W352" s="226"/>
      <c r="X352" s="26">
        <v>0</v>
      </c>
      <c r="Y352" s="27">
        <v>0</v>
      </c>
      <c r="Z352" s="28">
        <v>0</v>
      </c>
      <c r="AA352" s="30">
        <v>0</v>
      </c>
      <c r="AB352" s="328" t="s">
        <v>458</v>
      </c>
    </row>
    <row r="353" spans="1:28" x14ac:dyDescent="0.3">
      <c r="A353" s="42">
        <v>43816</v>
      </c>
      <c r="B353" s="43">
        <v>8.4</v>
      </c>
      <c r="C353" s="14">
        <v>9.4</v>
      </c>
      <c r="D353" s="14">
        <v>10.3</v>
      </c>
      <c r="E353" s="14">
        <v>11</v>
      </c>
      <c r="F353" s="14">
        <v>3.7</v>
      </c>
      <c r="G353" s="68">
        <f t="shared" si="3"/>
        <v>7.3</v>
      </c>
      <c r="H353" s="68">
        <f t="shared" si="2"/>
        <v>9.6000000000000014</v>
      </c>
      <c r="I353" s="82">
        <v>8.8000000000000007</v>
      </c>
      <c r="J353" s="14">
        <v>5.22242852378512</v>
      </c>
      <c r="K353" s="14">
        <v>0.91537113485280497</v>
      </c>
      <c r="L353" s="82">
        <v>3.6451059857764383</v>
      </c>
      <c r="M353" s="88">
        <v>87</v>
      </c>
      <c r="N353" s="24">
        <v>65</v>
      </c>
      <c r="O353" s="84">
        <v>69.419704861111128</v>
      </c>
      <c r="P353" s="122">
        <v>1018.28797072757</v>
      </c>
      <c r="Q353" s="21">
        <v>1016.0613051371701</v>
      </c>
      <c r="R353" s="70">
        <v>1016.9785606431542</v>
      </c>
      <c r="S353" s="75">
        <v>12.2</v>
      </c>
      <c r="T353" s="65">
        <v>8.1303773507862083</v>
      </c>
      <c r="U353" s="25">
        <v>4.9000000000000004</v>
      </c>
      <c r="V353" s="223" t="s">
        <v>226</v>
      </c>
      <c r="W353" s="226"/>
      <c r="X353" s="26">
        <v>0</v>
      </c>
      <c r="Y353" s="27">
        <v>0</v>
      </c>
      <c r="Z353" s="28">
        <v>0</v>
      </c>
      <c r="AA353" s="30">
        <v>0</v>
      </c>
      <c r="AB353" s="328" t="s">
        <v>480</v>
      </c>
    </row>
    <row r="354" spans="1:28" x14ac:dyDescent="0.3">
      <c r="A354" s="42">
        <v>43817</v>
      </c>
      <c r="B354" s="43">
        <v>4.5999999999999996</v>
      </c>
      <c r="C354" s="14">
        <v>9.6</v>
      </c>
      <c r="D354" s="14">
        <v>2.1</v>
      </c>
      <c r="E354" s="14">
        <v>9.9</v>
      </c>
      <c r="F354" s="14">
        <v>1.6</v>
      </c>
      <c r="G354" s="68">
        <f t="shared" si="3"/>
        <v>8.3000000000000007</v>
      </c>
      <c r="H354" s="68">
        <f t="shared" si="2"/>
        <v>4.5999999999999996</v>
      </c>
      <c r="I354" s="82">
        <v>6.2</v>
      </c>
      <c r="J354" s="14">
        <v>4.1639534434170002</v>
      </c>
      <c r="K354" s="14">
        <v>-1.1366658291134299</v>
      </c>
      <c r="L354" s="82">
        <v>1.9444558173963533</v>
      </c>
      <c r="M354" s="88">
        <v>85</v>
      </c>
      <c r="N354" s="24">
        <v>64</v>
      </c>
      <c r="O354" s="84">
        <v>75.611235119047606</v>
      </c>
      <c r="P354" s="122">
        <v>1025.8701474178199</v>
      </c>
      <c r="Q354" s="21">
        <v>1017.44387730477</v>
      </c>
      <c r="R354" s="70">
        <v>1021.529160109406</v>
      </c>
      <c r="S354" s="75">
        <v>7.8</v>
      </c>
      <c r="T354" s="65">
        <v>4.9687623497831392</v>
      </c>
      <c r="U354" s="25">
        <v>1.5</v>
      </c>
      <c r="V354" s="223" t="s">
        <v>271</v>
      </c>
      <c r="W354" s="226"/>
      <c r="X354" s="26">
        <v>0</v>
      </c>
      <c r="Y354" s="27">
        <v>0</v>
      </c>
      <c r="Z354" s="28">
        <v>0</v>
      </c>
      <c r="AA354" s="30">
        <v>0</v>
      </c>
      <c r="AB354" s="328" t="s">
        <v>458</v>
      </c>
    </row>
    <row r="355" spans="1:28" x14ac:dyDescent="0.3">
      <c r="A355" s="42">
        <v>43818</v>
      </c>
      <c r="B355" s="43">
        <v>4.2</v>
      </c>
      <c r="C355" s="14">
        <v>9.3000000000000007</v>
      </c>
      <c r="D355" s="14">
        <v>1.8</v>
      </c>
      <c r="E355" s="14">
        <v>10</v>
      </c>
      <c r="F355" s="14">
        <v>0.8</v>
      </c>
      <c r="G355" s="68">
        <f t="shared" si="3"/>
        <v>9.1999999999999993</v>
      </c>
      <c r="H355" s="68">
        <f t="shared" si="2"/>
        <v>4.2750000000000004</v>
      </c>
      <c r="I355" s="82">
        <v>4.5999999999999996</v>
      </c>
      <c r="J355" s="14">
        <v>4.8221199355373399</v>
      </c>
      <c r="K355" s="14">
        <v>-1.59170983298352</v>
      </c>
      <c r="L355" s="82">
        <v>1.5902035283560081</v>
      </c>
      <c r="M355" s="88">
        <v>89</v>
      </c>
      <c r="N355" s="24">
        <v>69</v>
      </c>
      <c r="O355" s="84">
        <v>81.525457241720233</v>
      </c>
      <c r="P355" s="122">
        <v>1026.4522640944699</v>
      </c>
      <c r="Q355" s="21">
        <v>1019.96159690566</v>
      </c>
      <c r="R355" s="70">
        <v>1024.5795631741241</v>
      </c>
      <c r="S355" s="75">
        <v>3.1</v>
      </c>
      <c r="T355" s="65">
        <v>1.8142902236764318</v>
      </c>
      <c r="U355" s="25">
        <v>0.8</v>
      </c>
      <c r="V355" s="223" t="s">
        <v>229</v>
      </c>
      <c r="W355" s="226"/>
      <c r="X355" s="26">
        <v>0</v>
      </c>
      <c r="Y355" s="27">
        <v>0</v>
      </c>
      <c r="Z355" s="28">
        <v>0</v>
      </c>
      <c r="AA355" s="30">
        <v>0</v>
      </c>
      <c r="AB355" s="328" t="s">
        <v>463</v>
      </c>
    </row>
    <row r="356" spans="1:28" x14ac:dyDescent="0.3">
      <c r="A356" s="42">
        <v>43819</v>
      </c>
      <c r="B356" s="43">
        <v>-1.1000000000000001</v>
      </c>
      <c r="C356" s="14">
        <v>10.9</v>
      </c>
      <c r="D356" s="14">
        <v>5</v>
      </c>
      <c r="E356" s="14">
        <v>11.2</v>
      </c>
      <c r="F356" s="14">
        <v>-1.2</v>
      </c>
      <c r="G356" s="68">
        <f t="shared" si="3"/>
        <v>12.399999999999999</v>
      </c>
      <c r="H356" s="68">
        <f t="shared" si="2"/>
        <v>4.95</v>
      </c>
      <c r="I356" s="82">
        <v>4.4000000000000004</v>
      </c>
      <c r="J356" s="14">
        <v>5.6509517937923999</v>
      </c>
      <c r="K356" s="14">
        <v>-3.7118018713589902</v>
      </c>
      <c r="L356" s="82">
        <v>0.5064387324866787</v>
      </c>
      <c r="M356" s="88">
        <v>91</v>
      </c>
      <c r="N356" s="24">
        <v>53</v>
      </c>
      <c r="O356" s="84">
        <v>75.328843302026669</v>
      </c>
      <c r="P356" s="122">
        <v>1020.09257592758</v>
      </c>
      <c r="Q356" s="21">
        <v>1002.30798601043</v>
      </c>
      <c r="R356" s="70">
        <v>1010.9254011594413</v>
      </c>
      <c r="S356" s="75">
        <v>10.5</v>
      </c>
      <c r="T356" s="65">
        <v>6.6285879038257081</v>
      </c>
      <c r="U356" s="25">
        <v>2.1</v>
      </c>
      <c r="V356" s="223" t="s">
        <v>226</v>
      </c>
      <c r="W356" s="226"/>
      <c r="X356" s="26">
        <v>0</v>
      </c>
      <c r="Y356" s="27">
        <v>0</v>
      </c>
      <c r="Z356" s="28">
        <v>0</v>
      </c>
      <c r="AA356" s="30">
        <v>0</v>
      </c>
      <c r="AB356" s="328" t="s">
        <v>252</v>
      </c>
    </row>
    <row r="357" spans="1:28" x14ac:dyDescent="0.3">
      <c r="A357" s="42">
        <v>43820</v>
      </c>
      <c r="B357" s="43">
        <v>8.5</v>
      </c>
      <c r="C357" s="14">
        <v>9.4</v>
      </c>
      <c r="D357" s="14">
        <v>8.4</v>
      </c>
      <c r="E357" s="14">
        <v>9.8000000000000007</v>
      </c>
      <c r="F357" s="14">
        <v>6.6</v>
      </c>
      <c r="G357" s="68">
        <f t="shared" si="3"/>
        <v>3.2000000000000011</v>
      </c>
      <c r="H357" s="68">
        <f t="shared" si="2"/>
        <v>8.6750000000000007</v>
      </c>
      <c r="I357" s="82">
        <v>8.4</v>
      </c>
      <c r="J357" s="14">
        <v>5.5132580619852201</v>
      </c>
      <c r="K357" s="14">
        <v>2.6854185538273501</v>
      </c>
      <c r="L357" s="82">
        <v>4.2968358419070372</v>
      </c>
      <c r="M357" s="88">
        <v>81</v>
      </c>
      <c r="N357" s="24">
        <v>72</v>
      </c>
      <c r="O357" s="84">
        <v>75.039000496031747</v>
      </c>
      <c r="P357" s="122">
        <v>1002.27887778543</v>
      </c>
      <c r="Q357" s="21">
        <v>990.86820754703501</v>
      </c>
      <c r="R357" s="70">
        <v>998.31416371495243</v>
      </c>
      <c r="S357" s="75">
        <v>12.6</v>
      </c>
      <c r="T357" s="65">
        <v>9.6857383594694575</v>
      </c>
      <c r="U357" s="25">
        <v>3.5</v>
      </c>
      <c r="V357" s="223" t="s">
        <v>230</v>
      </c>
      <c r="W357" s="226" t="s">
        <v>240</v>
      </c>
      <c r="X357" s="26">
        <v>2.4</v>
      </c>
      <c r="Y357" s="27">
        <v>1.8</v>
      </c>
      <c r="Z357" s="28">
        <v>0</v>
      </c>
      <c r="AA357" s="30">
        <v>0</v>
      </c>
      <c r="AB357" s="328" t="s">
        <v>262</v>
      </c>
    </row>
    <row r="358" spans="1:28" x14ac:dyDescent="0.3">
      <c r="A358" s="42">
        <v>43821</v>
      </c>
      <c r="B358" s="43">
        <v>9.3000000000000007</v>
      </c>
      <c r="C358" s="14">
        <v>10.199999999999999</v>
      </c>
      <c r="D358" s="14">
        <v>4.9000000000000004</v>
      </c>
      <c r="E358" s="14">
        <v>11.1</v>
      </c>
      <c r="F358" s="14">
        <v>3.9</v>
      </c>
      <c r="G358" s="68">
        <f t="shared" si="3"/>
        <v>7.1999999999999993</v>
      </c>
      <c r="H358" s="68">
        <f t="shared" si="2"/>
        <v>7.3250000000000002</v>
      </c>
      <c r="I358" s="82">
        <v>7.7</v>
      </c>
      <c r="J358" s="14">
        <v>6.3197129492202899</v>
      </c>
      <c r="K358" s="14">
        <v>0.94043874844002895</v>
      </c>
      <c r="L358" s="82">
        <v>3.9133171665258724</v>
      </c>
      <c r="M358" s="88">
        <v>87</v>
      </c>
      <c r="N358" s="24">
        <v>61</v>
      </c>
      <c r="O358" s="84">
        <v>77.707327586206901</v>
      </c>
      <c r="P358" s="122">
        <v>991.45039586456301</v>
      </c>
      <c r="Q358" s="21">
        <v>988.52488725953401</v>
      </c>
      <c r="R358" s="70">
        <v>990.25699073440126</v>
      </c>
      <c r="S358" s="75">
        <v>9.9</v>
      </c>
      <c r="T358" s="65">
        <v>5.6285854183347634</v>
      </c>
      <c r="U358" s="25">
        <v>2.2000000000000002</v>
      </c>
      <c r="V358" s="223" t="s">
        <v>230</v>
      </c>
      <c r="W358" s="226" t="s">
        <v>240</v>
      </c>
      <c r="X358" s="26">
        <v>2.4</v>
      </c>
      <c r="Y358" s="27">
        <v>8.6999999999999993</v>
      </c>
      <c r="Z358" s="28">
        <v>0</v>
      </c>
      <c r="AA358" s="30">
        <v>0</v>
      </c>
      <c r="AB358" s="328" t="s">
        <v>481</v>
      </c>
    </row>
    <row r="359" spans="1:28" x14ac:dyDescent="0.3">
      <c r="A359" s="42">
        <v>43822</v>
      </c>
      <c r="B359" s="43">
        <v>6.1</v>
      </c>
      <c r="C359" s="14">
        <v>4.7</v>
      </c>
      <c r="D359" s="14">
        <v>5</v>
      </c>
      <c r="E359" s="14">
        <v>6.1</v>
      </c>
      <c r="F359" s="14">
        <v>4.3</v>
      </c>
      <c r="G359" s="68">
        <f t="shared" si="3"/>
        <v>1.7999999999999998</v>
      </c>
      <c r="H359" s="68">
        <f t="shared" si="2"/>
        <v>5.2</v>
      </c>
      <c r="I359" s="82">
        <v>5.2</v>
      </c>
      <c r="J359" s="14">
        <v>4.42427601405464</v>
      </c>
      <c r="K359" s="14">
        <v>1.1250109255484799</v>
      </c>
      <c r="L359" s="82">
        <v>2.7760934968619462</v>
      </c>
      <c r="M359" s="88">
        <v>89</v>
      </c>
      <c r="N359" s="24">
        <v>76</v>
      </c>
      <c r="O359" s="84">
        <v>84.645151289682531</v>
      </c>
      <c r="P359" s="122">
        <v>1000.27949695271</v>
      </c>
      <c r="Q359" s="21">
        <v>988.85964849530706</v>
      </c>
      <c r="R359" s="70">
        <v>993.92524163274231</v>
      </c>
      <c r="S359" s="75">
        <v>9.5</v>
      </c>
      <c r="T359" s="65">
        <v>5.3928705467547502</v>
      </c>
      <c r="U359" s="25">
        <v>2.2000000000000002</v>
      </c>
      <c r="V359" s="223" t="s">
        <v>227</v>
      </c>
      <c r="W359" s="226" t="s">
        <v>240</v>
      </c>
      <c r="X359" s="26">
        <v>6</v>
      </c>
      <c r="Y359" s="27">
        <v>10.9</v>
      </c>
      <c r="Z359" s="28">
        <v>0</v>
      </c>
      <c r="AA359" s="30">
        <v>0</v>
      </c>
      <c r="AB359" s="328" t="s">
        <v>262</v>
      </c>
    </row>
    <row r="360" spans="1:28" x14ac:dyDescent="0.3">
      <c r="A360" s="42">
        <v>43823</v>
      </c>
      <c r="B360" s="43">
        <v>5.3</v>
      </c>
      <c r="C360" s="14">
        <v>6.3</v>
      </c>
      <c r="D360" s="14">
        <v>4.2</v>
      </c>
      <c r="E360" s="14">
        <v>6.6</v>
      </c>
      <c r="F360" s="14">
        <v>1</v>
      </c>
      <c r="G360" s="68">
        <f t="shared" si="3"/>
        <v>5.6</v>
      </c>
      <c r="H360" s="68">
        <f t="shared" si="2"/>
        <v>5</v>
      </c>
      <c r="I360" s="82">
        <v>5.0999999999999996</v>
      </c>
      <c r="J360" s="14">
        <v>2.30625232836696</v>
      </c>
      <c r="K360" s="14">
        <v>-2.8886793992609099</v>
      </c>
      <c r="L360" s="82">
        <v>0.84889752379121519</v>
      </c>
      <c r="M360" s="88">
        <v>81</v>
      </c>
      <c r="N360" s="24">
        <v>66.428571428571402</v>
      </c>
      <c r="O360" s="84">
        <v>75.016369047619065</v>
      </c>
      <c r="P360" s="122">
        <v>1009.64317224511</v>
      </c>
      <c r="Q360" s="21">
        <v>1000.24129208277</v>
      </c>
      <c r="R360" s="70">
        <v>1006.8605722510256</v>
      </c>
      <c r="S360" s="75">
        <v>9.9</v>
      </c>
      <c r="T360" s="65">
        <v>5.3491204380145136</v>
      </c>
      <c r="U360" s="25">
        <v>2.6</v>
      </c>
      <c r="V360" s="223" t="s">
        <v>227</v>
      </c>
      <c r="W360" s="226" t="s">
        <v>240</v>
      </c>
      <c r="X360" s="26">
        <v>0.4</v>
      </c>
      <c r="Y360" s="27">
        <v>0.2</v>
      </c>
      <c r="Z360" s="28">
        <v>0</v>
      </c>
      <c r="AA360" s="30">
        <v>0</v>
      </c>
      <c r="AB360" s="328" t="s">
        <v>248</v>
      </c>
    </row>
    <row r="361" spans="1:28" x14ac:dyDescent="0.3">
      <c r="A361" s="42">
        <v>43824</v>
      </c>
      <c r="B361" s="43">
        <v>1.4</v>
      </c>
      <c r="C361" s="14">
        <v>5.4</v>
      </c>
      <c r="D361" s="14">
        <v>3.2</v>
      </c>
      <c r="E361" s="14">
        <v>5.8</v>
      </c>
      <c r="F361" s="14">
        <v>0.4</v>
      </c>
      <c r="G361" s="68">
        <f t="shared" si="3"/>
        <v>5.3999999999999995</v>
      </c>
      <c r="H361" s="68">
        <f t="shared" si="2"/>
        <v>3.3000000000000003</v>
      </c>
      <c r="I361" s="82">
        <v>2.9</v>
      </c>
      <c r="J361" s="14">
        <v>2.0951234767321498</v>
      </c>
      <c r="K361" s="14">
        <v>-2.47518893798176</v>
      </c>
      <c r="L361" s="82">
        <v>4.1595422179434245E-2</v>
      </c>
      <c r="M361" s="88">
        <v>86</v>
      </c>
      <c r="N361" s="24">
        <v>68.428571428571402</v>
      </c>
      <c r="O361" s="84">
        <v>80.972842261904759</v>
      </c>
      <c r="P361" s="122">
        <v>1013.60176557008</v>
      </c>
      <c r="Q361" s="21">
        <v>1008.3478852818801</v>
      </c>
      <c r="R361" s="70">
        <v>1010.1176056892065</v>
      </c>
      <c r="S361" s="75">
        <v>3.1</v>
      </c>
      <c r="T361" s="65">
        <v>2.0142907207746221</v>
      </c>
      <c r="U361" s="25">
        <v>0.4</v>
      </c>
      <c r="V361" s="223" t="s">
        <v>231</v>
      </c>
      <c r="W361" s="226" t="s">
        <v>240</v>
      </c>
      <c r="X361" s="26">
        <v>4.8</v>
      </c>
      <c r="Y361" s="27">
        <v>1.2</v>
      </c>
      <c r="Z361" s="28">
        <v>0</v>
      </c>
      <c r="AA361" s="30">
        <v>0</v>
      </c>
      <c r="AB361" s="328" t="s">
        <v>262</v>
      </c>
    </row>
    <row r="362" spans="1:28" x14ac:dyDescent="0.3">
      <c r="A362" s="42">
        <v>43825</v>
      </c>
      <c r="B362" s="43">
        <v>2.8</v>
      </c>
      <c r="C362" s="14">
        <v>5.4</v>
      </c>
      <c r="D362" s="14">
        <v>3.2</v>
      </c>
      <c r="E362" s="14">
        <v>5.7</v>
      </c>
      <c r="F362" s="14">
        <v>2.5</v>
      </c>
      <c r="G362" s="68">
        <f t="shared" si="3"/>
        <v>3.2</v>
      </c>
      <c r="H362" s="68">
        <f t="shared" si="2"/>
        <v>3.65</v>
      </c>
      <c r="I362" s="82">
        <v>3.6</v>
      </c>
      <c r="J362" s="14">
        <v>1.46777203572161</v>
      </c>
      <c r="K362" s="14">
        <v>-1.37966164967839</v>
      </c>
      <c r="L362" s="82">
        <v>3.3530835704426804E-2</v>
      </c>
      <c r="M362" s="88">
        <v>85</v>
      </c>
      <c r="N362" s="24">
        <v>71</v>
      </c>
      <c r="O362" s="84">
        <v>77.841951884920618</v>
      </c>
      <c r="P362" s="122">
        <v>1019.42312693552</v>
      </c>
      <c r="Q362" s="21">
        <v>1013.6890868553299</v>
      </c>
      <c r="R362" s="70">
        <v>1017.4628286992445</v>
      </c>
      <c r="S362" s="75">
        <v>6.8</v>
      </c>
      <c r="T362" s="65">
        <v>3.6357233222492278</v>
      </c>
      <c r="U362" s="25">
        <v>1.4</v>
      </c>
      <c r="V362" s="223" t="s">
        <v>227</v>
      </c>
      <c r="W362" s="226" t="s">
        <v>240</v>
      </c>
      <c r="X362" s="26">
        <v>1.2</v>
      </c>
      <c r="Y362" s="27">
        <v>0.8</v>
      </c>
      <c r="Z362" s="28">
        <v>0</v>
      </c>
      <c r="AA362" s="30">
        <v>0</v>
      </c>
      <c r="AB362" s="328" t="s">
        <v>266</v>
      </c>
    </row>
    <row r="363" spans="1:28" x14ac:dyDescent="0.3">
      <c r="A363" s="42">
        <v>43826</v>
      </c>
      <c r="B363" s="43">
        <v>0.9</v>
      </c>
      <c r="C363" s="14">
        <v>4.2</v>
      </c>
      <c r="D363" s="14">
        <v>1.7</v>
      </c>
      <c r="E363" s="14">
        <v>4.5</v>
      </c>
      <c r="F363" s="14">
        <v>0.7</v>
      </c>
      <c r="G363" s="68">
        <f t="shared" si="3"/>
        <v>3.8</v>
      </c>
      <c r="H363" s="68">
        <f t="shared" si="2"/>
        <v>2.125</v>
      </c>
      <c r="I363" s="82">
        <v>2.2999999999999998</v>
      </c>
      <c r="J363" s="14">
        <v>0.94043874844002895</v>
      </c>
      <c r="K363" s="14">
        <v>-2.6923477901467998</v>
      </c>
      <c r="L363" s="82">
        <v>-1.368234627613466</v>
      </c>
      <c r="M363" s="88">
        <v>82</v>
      </c>
      <c r="N363" s="24">
        <v>67</v>
      </c>
      <c r="O363" s="84">
        <v>77.219060019841265</v>
      </c>
      <c r="P363" s="122">
        <v>1023.06141801716</v>
      </c>
      <c r="Q363" s="21">
        <v>1018.41349303167</v>
      </c>
      <c r="R363" s="70">
        <v>1020.2436939012296</v>
      </c>
      <c r="S363" s="75">
        <v>7.5</v>
      </c>
      <c r="T363" s="65">
        <v>3.5830446198885553</v>
      </c>
      <c r="U363" s="25">
        <v>1.2</v>
      </c>
      <c r="V363" s="223" t="s">
        <v>227</v>
      </c>
      <c r="W363" s="226" t="s">
        <v>200</v>
      </c>
      <c r="X363" s="26">
        <v>2.4</v>
      </c>
      <c r="Y363" s="27">
        <v>1.2</v>
      </c>
      <c r="Z363" s="28">
        <v>0</v>
      </c>
      <c r="AA363" s="30">
        <v>0</v>
      </c>
      <c r="AB363" s="328" t="s">
        <v>482</v>
      </c>
    </row>
    <row r="364" spans="1:28" x14ac:dyDescent="0.3">
      <c r="A364" s="42">
        <v>43827</v>
      </c>
      <c r="B364" s="43">
        <v>0.8</v>
      </c>
      <c r="C364" s="14">
        <v>1.3</v>
      </c>
      <c r="D364" s="14">
        <v>-0.3</v>
      </c>
      <c r="E364" s="14">
        <v>1.9</v>
      </c>
      <c r="F364" s="14">
        <v>-0.6</v>
      </c>
      <c r="G364" s="68">
        <f t="shared" si="3"/>
        <v>2.5</v>
      </c>
      <c r="H364" s="68">
        <f t="shared" si="2"/>
        <v>0.375</v>
      </c>
      <c r="I364" s="82">
        <v>0.6</v>
      </c>
      <c r="J364" s="14">
        <v>-2.4473434217170502</v>
      </c>
      <c r="K364" s="14">
        <v>-6.5730821183212802</v>
      </c>
      <c r="L364" s="82">
        <v>-4.8702314142111671</v>
      </c>
      <c r="M364" s="88">
        <v>80</v>
      </c>
      <c r="N364" s="24">
        <v>60</v>
      </c>
      <c r="O364" s="84">
        <v>67.195188492063508</v>
      </c>
      <c r="P364" s="122">
        <v>1032.8845759339699</v>
      </c>
      <c r="Q364" s="21">
        <v>1022.94499340001</v>
      </c>
      <c r="R364" s="70">
        <v>1027.7394029432107</v>
      </c>
      <c r="S364" s="75">
        <v>14.3</v>
      </c>
      <c r="T364" s="65">
        <v>8.3571636287457771</v>
      </c>
      <c r="U364" s="25">
        <v>4.2</v>
      </c>
      <c r="V364" s="223" t="s">
        <v>229</v>
      </c>
      <c r="W364" s="226" t="s">
        <v>206</v>
      </c>
      <c r="X364" s="26">
        <v>0.4</v>
      </c>
      <c r="Y364" s="27">
        <v>0.2</v>
      </c>
      <c r="Z364" s="28">
        <v>0.5</v>
      </c>
      <c r="AA364" s="30">
        <v>0.5</v>
      </c>
      <c r="AB364" s="328" t="s">
        <v>483</v>
      </c>
    </row>
    <row r="365" spans="1:28" x14ac:dyDescent="0.3">
      <c r="A365" s="42">
        <v>43828</v>
      </c>
      <c r="B365" s="43">
        <v>-1.3</v>
      </c>
      <c r="C365" s="14">
        <v>-0.8</v>
      </c>
      <c r="D365" s="14">
        <v>-1.7</v>
      </c>
      <c r="E365" s="295">
        <v>0</v>
      </c>
      <c r="F365" s="14">
        <v>-2.1</v>
      </c>
      <c r="G365" s="68">
        <f t="shared" si="3"/>
        <v>2.1</v>
      </c>
      <c r="H365" s="68">
        <f t="shared" si="2"/>
        <v>-1.375</v>
      </c>
      <c r="I365" s="82">
        <v>-1.1000000000000001</v>
      </c>
      <c r="J365" s="14">
        <v>-5.8658807835115097</v>
      </c>
      <c r="K365" s="14">
        <v>-8.6938741916912008</v>
      </c>
      <c r="L365" s="82">
        <v>-7.5442417732931597</v>
      </c>
      <c r="M365" s="88">
        <v>70</v>
      </c>
      <c r="N365" s="24">
        <v>60</v>
      </c>
      <c r="O365" s="84">
        <v>62.001984126984127</v>
      </c>
      <c r="P365" s="122">
        <v>1037.8760688434099</v>
      </c>
      <c r="Q365" s="21">
        <v>1032.79726040734</v>
      </c>
      <c r="R365" s="70">
        <v>1035.456773455436</v>
      </c>
      <c r="S365" s="75">
        <v>10.5</v>
      </c>
      <c r="T365" s="65">
        <v>6.407158782038417</v>
      </c>
      <c r="U365" s="25">
        <v>3.2</v>
      </c>
      <c r="V365" s="223" t="s">
        <v>227</v>
      </c>
      <c r="W365" s="226" t="s">
        <v>211</v>
      </c>
      <c r="X365" s="26">
        <v>0</v>
      </c>
      <c r="Y365" s="27">
        <v>0</v>
      </c>
      <c r="Z365" s="28">
        <v>0</v>
      </c>
      <c r="AA365" s="30">
        <v>0</v>
      </c>
      <c r="AB365" s="328" t="s">
        <v>484</v>
      </c>
    </row>
    <row r="366" spans="1:28" x14ac:dyDescent="0.3">
      <c r="A366" s="42">
        <v>43829</v>
      </c>
      <c r="B366" s="43">
        <v>-5</v>
      </c>
      <c r="C366" s="14">
        <v>0.3</v>
      </c>
      <c r="D366" s="14">
        <v>-2</v>
      </c>
      <c r="E366" s="14">
        <v>0.8</v>
      </c>
      <c r="F366" s="14">
        <v>-5.3</v>
      </c>
      <c r="G366" s="68">
        <f t="shared" si="3"/>
        <v>6.1</v>
      </c>
      <c r="H366" s="68">
        <f t="shared" si="2"/>
        <v>-2.1749999999999998</v>
      </c>
      <c r="I366" s="82">
        <v>-2</v>
      </c>
      <c r="J366" s="14">
        <v>-5.5692331711618897</v>
      </c>
      <c r="K366" s="14">
        <v>-10.6139423485577</v>
      </c>
      <c r="L366" s="82">
        <v>-7.7494024604132887</v>
      </c>
      <c r="M366" s="88">
        <v>73</v>
      </c>
      <c r="N366" s="24">
        <v>58</v>
      </c>
      <c r="O366" s="84">
        <v>64.468253968253961</v>
      </c>
      <c r="P366" s="122">
        <v>1037.5904791678799</v>
      </c>
      <c r="Q366" s="21">
        <v>1030.0613614992701</v>
      </c>
      <c r="R366" s="70">
        <v>1034.4352608439619</v>
      </c>
      <c r="S366" s="75">
        <v>5.8</v>
      </c>
      <c r="T366" s="65">
        <v>3.9928670670674169</v>
      </c>
      <c r="U366" s="25">
        <v>1.2</v>
      </c>
      <c r="V366" s="223" t="s">
        <v>235</v>
      </c>
      <c r="W366" s="226" t="s">
        <v>219</v>
      </c>
      <c r="X366" s="26">
        <v>0</v>
      </c>
      <c r="Y366" s="27">
        <v>0</v>
      </c>
      <c r="Z366" s="28">
        <v>0</v>
      </c>
      <c r="AA366" s="30">
        <v>0</v>
      </c>
      <c r="AB366" s="328" t="s">
        <v>485</v>
      </c>
    </row>
    <row r="367" spans="1:28" ht="15" thickBot="1" x14ac:dyDescent="0.35">
      <c r="A367" s="42">
        <v>43830</v>
      </c>
      <c r="B367" s="44">
        <v>-1.3</v>
      </c>
      <c r="C367" s="22">
        <v>-1.5</v>
      </c>
      <c r="D367" s="22">
        <v>-1.5</v>
      </c>
      <c r="E367" s="22">
        <v>-0.5</v>
      </c>
      <c r="F367" s="22">
        <v>-2.2000000000000002</v>
      </c>
      <c r="G367" s="22">
        <f t="shared" si="3"/>
        <v>1.7000000000000002</v>
      </c>
      <c r="H367" s="22">
        <f t="shared" si="2"/>
        <v>-1.45</v>
      </c>
      <c r="I367" s="83">
        <v>-1.4</v>
      </c>
      <c r="J367" s="22">
        <v>-4.8841399333308804</v>
      </c>
      <c r="K367" s="22">
        <v>-6.1608644240711596</v>
      </c>
      <c r="L367" s="83">
        <v>-5.6895646352413687</v>
      </c>
      <c r="M367" s="89">
        <v>80</v>
      </c>
      <c r="N367" s="71">
        <v>67</v>
      </c>
      <c r="O367" s="85">
        <v>73.115575396825392</v>
      </c>
      <c r="P367" s="123">
        <v>1030.1777832585699</v>
      </c>
      <c r="Q367" s="72">
        <v>1023.69811423333</v>
      </c>
      <c r="R367" s="73">
        <v>1026.1557197668367</v>
      </c>
      <c r="S367" s="77">
        <v>9.5</v>
      </c>
      <c r="T367" s="67">
        <v>5.8634074305527228</v>
      </c>
      <c r="U367" s="45">
        <v>2.4</v>
      </c>
      <c r="V367" s="227" t="s">
        <v>226</v>
      </c>
      <c r="W367" s="228" t="s">
        <v>206</v>
      </c>
      <c r="X367" s="47">
        <v>0.4</v>
      </c>
      <c r="Y367" s="48">
        <v>0.2</v>
      </c>
      <c r="Z367" s="49">
        <v>0.5</v>
      </c>
      <c r="AA367" s="50">
        <v>0.5</v>
      </c>
      <c r="AB367" s="329" t="s">
        <v>248</v>
      </c>
    </row>
    <row r="370" spans="5:6" x14ac:dyDescent="0.3">
      <c r="E370" s="57"/>
      <c r="F370" s="57"/>
    </row>
  </sheetData>
  <mergeCells count="6">
    <mergeCell ref="B1:I1"/>
    <mergeCell ref="W1:AA1"/>
    <mergeCell ref="S1:V1"/>
    <mergeCell ref="M1:O1"/>
    <mergeCell ref="P1:R1"/>
    <mergeCell ref="J1:L1"/>
  </mergeCells>
  <conditionalFormatting sqref="X3:X367">
    <cfRule type="cellIs" dxfId="159" priority="1322" operator="greaterThan">
      <formula>150</formula>
    </cfRule>
    <cfRule type="cellIs" dxfId="158" priority="1323" operator="between">
      <formula>90</formula>
      <formula>150</formula>
    </cfRule>
    <cfRule type="cellIs" dxfId="157" priority="1324" operator="between">
      <formula>50</formula>
      <formula>90</formula>
    </cfRule>
    <cfRule type="cellIs" dxfId="156" priority="1325" operator="between">
      <formula>30</formula>
      <formula>50</formula>
    </cfRule>
    <cfRule type="cellIs" dxfId="155" priority="1326" operator="between">
      <formula>15</formula>
      <formula>30</formula>
    </cfRule>
    <cfRule type="cellIs" dxfId="154" priority="1327" operator="between">
      <formula>5</formula>
      <formula>15</formula>
    </cfRule>
    <cfRule type="cellIs" dxfId="153" priority="1328" operator="between">
      <formula>0</formula>
      <formula>5</formula>
    </cfRule>
  </conditionalFormatting>
  <conditionalFormatting sqref="Y3:Y367">
    <cfRule type="cellIs" dxfId="152" priority="1314" operator="greaterThan">
      <formula>80</formula>
    </cfRule>
    <cfRule type="cellIs" dxfId="151" priority="1315" operator="between">
      <formula>60</formula>
      <formula>80</formula>
    </cfRule>
    <cfRule type="cellIs" dxfId="150" priority="1316" operator="between">
      <formula>45</formula>
      <formula>60</formula>
    </cfRule>
    <cfRule type="cellIs" dxfId="149" priority="1317" operator="between">
      <formula>30</formula>
      <formula>45</formula>
    </cfRule>
    <cfRule type="cellIs" dxfId="148" priority="1318" operator="between">
      <formula>15</formula>
      <formula>30</formula>
    </cfRule>
    <cfRule type="cellIs" dxfId="147" priority="1319" operator="between">
      <formula>10</formula>
      <formula>15</formula>
    </cfRule>
    <cfRule type="cellIs" dxfId="146" priority="1320" operator="between">
      <formula>5</formula>
      <formula>10</formula>
    </cfRule>
    <cfRule type="cellIs" dxfId="145" priority="1321" operator="between">
      <formula>0</formula>
      <formula>5</formula>
    </cfRule>
  </conditionalFormatting>
  <conditionalFormatting sqref="Z3:AA367">
    <cfRule type="cellIs" dxfId="144" priority="1298" operator="greaterThan">
      <formula>30</formula>
    </cfRule>
    <cfRule type="cellIs" dxfId="143" priority="1299" operator="between">
      <formula>20</formula>
      <formula>30</formula>
    </cfRule>
    <cfRule type="cellIs" dxfId="142" priority="1300" operator="between">
      <formula>15</formula>
      <formula>20</formula>
    </cfRule>
    <cfRule type="cellIs" dxfId="141" priority="1301" operator="between">
      <formula>10</formula>
      <formula>15</formula>
    </cfRule>
    <cfRule type="cellIs" dxfId="140" priority="1302" operator="between">
      <formula>7.5</formula>
      <formula>10</formula>
    </cfRule>
    <cfRule type="cellIs" dxfId="139" priority="1303" operator="between">
      <formula>5</formula>
      <formula>7.5</formula>
    </cfRule>
    <cfRule type="cellIs" dxfId="138" priority="1304" operator="between">
      <formula>3</formula>
      <formula>5</formula>
    </cfRule>
    <cfRule type="cellIs" dxfId="137" priority="1305" operator="between">
      <formula>1</formula>
      <formula>3</formula>
    </cfRule>
    <cfRule type="cellIs" dxfId="136" priority="1306" operator="between">
      <formula>0</formula>
      <formula>1</formula>
    </cfRule>
  </conditionalFormatting>
  <conditionalFormatting sqref="X3:AA367">
    <cfRule type="cellIs" dxfId="135" priority="1297" operator="equal">
      <formula>0</formula>
    </cfRule>
  </conditionalFormatting>
  <conditionalFormatting sqref="V62:V82 V84:V92 W62:AB92 W139:AB152 V140:V152 V3:AB33 W34:AB54 V43:V54 V55:AB55 W56:AB56 V57:AB61 V123:AB138 V93:AB94 W95:AB122 V96:V122 V153:AB367">
    <cfRule type="containsBlanks" dxfId="134" priority="1276">
      <formula>LEN(TRIM(V3))=0</formula>
    </cfRule>
  </conditionalFormatting>
  <conditionalFormatting sqref="V62:V82 V84:V92 W62:AB92 V153:AB153 V123:AB138 W139:AB152 V140:V152">
    <cfRule type="containsBlanks" priority="49">
      <formula>LEN(TRIM(V62))=0</formula>
    </cfRule>
  </conditionalFormatting>
  <conditionalFormatting sqref="P1:R1048576">
    <cfRule type="colorScale" priority="11">
      <colorScale>
        <cfvo type="num" val="980"/>
        <cfvo type="num" val="1010"/>
        <cfvo type="num" val="1040"/>
        <color rgb="FF00B0F0"/>
        <color rgb="FFFFEB84"/>
        <color rgb="FFFF0000"/>
      </colorScale>
    </cfRule>
  </conditionalFormatting>
  <conditionalFormatting sqref="M1:O1048576">
    <cfRule type="cellIs" dxfId="133" priority="8" operator="equal">
      <formula>99</formula>
    </cfRule>
    <cfRule type="colorScale" priority="10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J1:L1048576">
    <cfRule type="colorScale" priority="9">
      <colorScale>
        <cfvo type="num" val="-30"/>
        <cfvo type="num" val="5"/>
        <cfvo type="num" val="20"/>
        <color theme="4"/>
        <color theme="0"/>
        <color rgb="FFC00000"/>
      </colorScale>
    </cfRule>
  </conditionalFormatting>
  <conditionalFormatting sqref="S1:S1048576">
    <cfRule type="colorScale" priority="5">
      <colorScale>
        <cfvo type="num" val="0"/>
        <cfvo type="num" val="12.5"/>
        <cfvo type="num" val="25"/>
        <color rgb="FF92D050"/>
        <color rgb="FFFFEB84"/>
        <color rgb="FFFF0000"/>
      </colorScale>
    </cfRule>
  </conditionalFormatting>
  <conditionalFormatting sqref="T1:T1048576">
    <cfRule type="colorScale" priority="4">
      <colorScale>
        <cfvo type="num" val="0"/>
        <cfvo type="num" val="10"/>
        <cfvo type="num" val="20"/>
        <color rgb="FF92D050"/>
        <color rgb="FFFFEB84"/>
        <color rgb="FFFF0000"/>
      </colorScale>
    </cfRule>
  </conditionalFormatting>
  <conditionalFormatting sqref="U1:U1048576">
    <cfRule type="colorScale" priority="3">
      <colorScale>
        <cfvo type="num" val="0"/>
        <cfvo type="num" val="4"/>
        <cfvo type="num" val="10"/>
        <color rgb="FF92D050"/>
        <color rgb="FFFFEB84"/>
        <color rgb="FFFF0000"/>
      </colorScale>
    </cfRule>
  </conditionalFormatting>
  <conditionalFormatting sqref="B1:I1048576">
    <cfRule type="colorScale" priority="1">
      <colorScale>
        <cfvo type="num" val="-20"/>
        <cfvo type="num" val="10"/>
        <cfvo type="num" val="35"/>
        <color rgb="FF00B0F0"/>
        <color rgb="FFFFEB84"/>
        <color rgb="FFFF0000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5"/>
  <dimension ref="A1:AV240"/>
  <sheetViews>
    <sheetView zoomScale="85" zoomScaleNormal="85" workbookViewId="0">
      <pane xSplit="2" ySplit="2" topLeftCell="C137" activePane="bottomRight" state="frozen"/>
      <selection pane="topRight" activeCell="C1" sqref="C1"/>
      <selection pane="bottomLeft" activeCell="A3" sqref="A3"/>
      <selection pane="bottomRight" activeCell="K163" sqref="K163"/>
    </sheetView>
  </sheetViews>
  <sheetFormatPr defaultColWidth="9.109375" defaultRowHeight="14.4" x14ac:dyDescent="0.3"/>
  <cols>
    <col min="1" max="1" width="12.33203125" style="157" customWidth="1"/>
    <col min="2" max="2" width="11.109375" style="157" customWidth="1"/>
    <col min="3" max="4" width="17.109375" style="157" customWidth="1"/>
    <col min="5" max="5" width="9.109375" style="157"/>
    <col min="6" max="6" width="11.109375" style="157" customWidth="1"/>
    <col min="7" max="7" width="11.44140625" style="157" customWidth="1"/>
    <col min="8" max="8" width="10" style="157" customWidth="1"/>
    <col min="9" max="9" width="12.109375" style="157" customWidth="1"/>
    <col min="10" max="10" width="11.44140625" style="157" bestFit="1" customWidth="1"/>
    <col min="11" max="12" width="9.109375" style="157"/>
    <col min="13" max="13" width="11.44140625" style="157" customWidth="1"/>
    <col min="14" max="14" width="10.44140625" style="157" bestFit="1" customWidth="1"/>
    <col min="15" max="15" width="10" style="157" customWidth="1"/>
    <col min="16" max="16" width="9.109375" style="157"/>
    <col min="17" max="17" width="13.33203125" style="157" customWidth="1"/>
    <col min="18" max="18" width="14.44140625" style="201" customWidth="1"/>
    <col min="19" max="19" width="12.44140625" style="157" customWidth="1"/>
    <col min="20" max="21" width="42.88671875" style="157" customWidth="1"/>
    <col min="22" max="16384" width="9.109375" style="157"/>
  </cols>
  <sheetData>
    <row r="1" spans="1:24" s="135" customFormat="1" ht="16.5" customHeight="1" thickBot="1" x14ac:dyDescent="0.35">
      <c r="A1" s="510" t="s">
        <v>0</v>
      </c>
      <c r="B1" s="510" t="s">
        <v>124</v>
      </c>
      <c r="C1" s="520" t="s">
        <v>307</v>
      </c>
      <c r="D1" s="521"/>
      <c r="E1" s="512" t="s">
        <v>126</v>
      </c>
      <c r="F1" s="513"/>
      <c r="G1" s="514"/>
      <c r="H1" s="518" t="s">
        <v>127</v>
      </c>
      <c r="I1" s="519"/>
      <c r="J1" s="515" t="s">
        <v>10</v>
      </c>
      <c r="K1" s="516"/>
      <c r="L1" s="517"/>
      <c r="M1" s="497" t="s">
        <v>128</v>
      </c>
      <c r="N1" s="498"/>
      <c r="O1" s="498"/>
      <c r="P1" s="499"/>
      <c r="Q1" s="500" t="s">
        <v>129</v>
      </c>
      <c r="R1" s="501"/>
      <c r="S1" s="501"/>
      <c r="T1" s="505" t="s">
        <v>130</v>
      </c>
      <c r="U1" s="133"/>
      <c r="V1" s="134"/>
      <c r="W1" s="134"/>
      <c r="X1" s="134"/>
    </row>
    <row r="2" spans="1:24" s="149" customFormat="1" ht="31.8" thickBot="1" x14ac:dyDescent="0.35">
      <c r="A2" s="511"/>
      <c r="B2" s="511"/>
      <c r="C2" s="388" t="s">
        <v>125</v>
      </c>
      <c r="D2" s="388" t="s">
        <v>306</v>
      </c>
      <c r="E2" s="136" t="s">
        <v>131</v>
      </c>
      <c r="F2" s="136" t="s">
        <v>199</v>
      </c>
      <c r="G2" s="136" t="s">
        <v>193</v>
      </c>
      <c r="H2" s="137" t="s">
        <v>133</v>
      </c>
      <c r="I2" s="138" t="s">
        <v>134</v>
      </c>
      <c r="J2" s="139" t="s">
        <v>135</v>
      </c>
      <c r="K2" s="140" t="s">
        <v>136</v>
      </c>
      <c r="L2" s="141" t="s">
        <v>134</v>
      </c>
      <c r="M2" s="142" t="s">
        <v>16</v>
      </c>
      <c r="N2" s="143" t="s">
        <v>17</v>
      </c>
      <c r="O2" s="143" t="s">
        <v>42</v>
      </c>
      <c r="P2" s="144" t="s">
        <v>137</v>
      </c>
      <c r="Q2" s="200" t="s">
        <v>17</v>
      </c>
      <c r="R2" s="145" t="s">
        <v>138</v>
      </c>
      <c r="S2" s="146" t="s">
        <v>139</v>
      </c>
      <c r="T2" s="506"/>
      <c r="U2" s="147"/>
      <c r="V2" s="148"/>
      <c r="W2" s="148"/>
      <c r="X2" s="148"/>
    </row>
    <row r="3" spans="1:24" s="172" customFormat="1" ht="15" thickBot="1" x14ac:dyDescent="0.35">
      <c r="Q3" s="204"/>
    </row>
    <row r="4" spans="1:24" s="105" customFormat="1" ht="15" thickBot="1" x14ac:dyDescent="0.35">
      <c r="A4" s="335" t="s">
        <v>110</v>
      </c>
      <c r="Q4" s="205"/>
    </row>
    <row r="5" spans="1:24" s="332" customFormat="1" x14ac:dyDescent="0.3">
      <c r="Q5" s="334"/>
    </row>
    <row r="6" spans="1:24" x14ac:dyDescent="0.3">
      <c r="Q6" s="201"/>
      <c r="R6" s="157"/>
    </row>
    <row r="7" spans="1:24" x14ac:dyDescent="0.3">
      <c r="Q7" s="201"/>
      <c r="R7" s="157"/>
    </row>
    <row r="8" spans="1:24" x14ac:dyDescent="0.3">
      <c r="C8" s="69" t="s">
        <v>140</v>
      </c>
      <c r="D8" s="69"/>
      <c r="G8" s="157">
        <f>COUNTIF(S5:S7,"*áno*")</f>
        <v>0</v>
      </c>
      <c r="Q8" s="201"/>
      <c r="R8" s="157"/>
    </row>
    <row r="9" spans="1:24" x14ac:dyDescent="0.3">
      <c r="C9" s="69" t="s">
        <v>141</v>
      </c>
      <c r="D9" s="69"/>
      <c r="G9" s="157">
        <f>COUNTIF(E5:E7,"*w*")</f>
        <v>0</v>
      </c>
      <c r="Q9" s="201"/>
      <c r="R9" s="157"/>
    </row>
    <row r="10" spans="1:24" x14ac:dyDescent="0.3">
      <c r="C10" s="69" t="s">
        <v>142</v>
      </c>
      <c r="D10" s="69"/>
      <c r="G10" s="157">
        <f>COUNTIF(E5:E7,"*P*")</f>
        <v>0</v>
      </c>
      <c r="Q10" s="201"/>
      <c r="R10" s="157"/>
    </row>
    <row r="11" spans="1:24" x14ac:dyDescent="0.3">
      <c r="C11" s="69" t="s">
        <v>143</v>
      </c>
      <c r="D11" s="69"/>
      <c r="G11" s="157">
        <f>COUNTIF(E5:E7,"*L*")</f>
        <v>0</v>
      </c>
      <c r="Q11" s="201"/>
      <c r="R11" s="157"/>
    </row>
    <row r="12" spans="1:24" x14ac:dyDescent="0.3">
      <c r="C12" s="69" t="s">
        <v>144</v>
      </c>
      <c r="D12" s="69"/>
      <c r="G12" s="157">
        <f>COUNTIF(E5:E7,"*V*")</f>
        <v>0</v>
      </c>
      <c r="Q12" s="201"/>
      <c r="R12" s="157"/>
    </row>
    <row r="13" spans="1:24" x14ac:dyDescent="0.3">
      <c r="C13" s="69"/>
      <c r="D13" s="69"/>
      <c r="Q13" s="201"/>
      <c r="R13" s="157"/>
    </row>
    <row r="14" spans="1:24" x14ac:dyDescent="0.3">
      <c r="C14" s="69" t="s">
        <v>145</v>
      </c>
      <c r="D14" s="69"/>
      <c r="G14" s="157">
        <f>COUNTIF(E5:E7,"*D*")</f>
        <v>0</v>
      </c>
      <c r="Q14" s="201"/>
      <c r="R14" s="157"/>
    </row>
    <row r="15" spans="1:24" x14ac:dyDescent="0.3">
      <c r="C15" s="69" t="s">
        <v>146</v>
      </c>
      <c r="D15" s="69"/>
      <c r="G15" s="157">
        <f>COUNTIF(E5:E7,"*S*")</f>
        <v>0</v>
      </c>
      <c r="Q15" s="201"/>
      <c r="R15" s="157"/>
    </row>
    <row r="16" spans="1:24" x14ac:dyDescent="0.3">
      <c r="C16" s="69" t="s">
        <v>147</v>
      </c>
      <c r="D16" s="69"/>
      <c r="G16" s="157">
        <f>COUNTIF(E5:E7,"*K*")</f>
        <v>0</v>
      </c>
      <c r="Q16" s="201"/>
      <c r="R16" s="157"/>
    </row>
    <row r="17" spans="1:24" s="172" customFormat="1" ht="15" thickBot="1" x14ac:dyDescent="0.35">
      <c r="C17" s="183" t="s">
        <v>148</v>
      </c>
      <c r="D17" s="183"/>
      <c r="G17" s="172">
        <f>COUNTIF(E5:E7,"*Z*")</f>
        <v>0</v>
      </c>
      <c r="Q17" s="204"/>
    </row>
    <row r="18" spans="1:24" s="105" customFormat="1" ht="15" thickBot="1" x14ac:dyDescent="0.35">
      <c r="A18" s="335" t="s">
        <v>109</v>
      </c>
      <c r="C18" s="243"/>
      <c r="D18" s="243"/>
      <c r="Q18" s="205"/>
    </row>
    <row r="19" spans="1:24" s="332" customFormat="1" x14ac:dyDescent="0.3">
      <c r="C19" s="333"/>
      <c r="D19" s="333"/>
      <c r="Q19" s="334"/>
    </row>
    <row r="20" spans="1:24" x14ac:dyDescent="0.3">
      <c r="C20" s="69"/>
      <c r="D20" s="69"/>
      <c r="Q20" s="201"/>
      <c r="R20" s="157"/>
    </row>
    <row r="21" spans="1:24" x14ac:dyDescent="0.3">
      <c r="C21" s="69"/>
      <c r="D21" s="69"/>
      <c r="Q21" s="201"/>
      <c r="R21" s="157"/>
    </row>
    <row r="22" spans="1:24" x14ac:dyDescent="0.3">
      <c r="C22" s="69" t="s">
        <v>140</v>
      </c>
      <c r="D22" s="69"/>
      <c r="G22" s="157">
        <f>COUNTIF(S19:S21,"*áno*")</f>
        <v>0</v>
      </c>
      <c r="Q22" s="201"/>
      <c r="R22" s="157"/>
    </row>
    <row r="23" spans="1:24" x14ac:dyDescent="0.3">
      <c r="C23" s="69" t="s">
        <v>141</v>
      </c>
      <c r="D23" s="69"/>
      <c r="G23" s="157">
        <f>COUNTIF(E19:E21,"*w*")</f>
        <v>0</v>
      </c>
      <c r="Q23" s="201"/>
      <c r="R23" s="157"/>
    </row>
    <row r="24" spans="1:24" x14ac:dyDescent="0.3">
      <c r="C24" s="69" t="s">
        <v>142</v>
      </c>
      <c r="D24" s="69"/>
      <c r="G24" s="157">
        <f>COUNTIF(E19:E21,"*P*")</f>
        <v>0</v>
      </c>
      <c r="Q24" s="201"/>
      <c r="R24" s="157"/>
    </row>
    <row r="25" spans="1:24" x14ac:dyDescent="0.3">
      <c r="C25" s="69" t="s">
        <v>143</v>
      </c>
      <c r="D25" s="69"/>
      <c r="G25" s="157">
        <f>COUNTIF(E19:E21,"*L*")</f>
        <v>0</v>
      </c>
      <c r="Q25" s="201"/>
      <c r="R25" s="157"/>
    </row>
    <row r="26" spans="1:24" x14ac:dyDescent="0.3">
      <c r="C26" s="69" t="s">
        <v>144</v>
      </c>
      <c r="D26" s="69"/>
      <c r="G26" s="157">
        <f>COUNTIF(E19:E21,"*V*")</f>
        <v>0</v>
      </c>
      <c r="Q26" s="201"/>
      <c r="R26" s="157"/>
    </row>
    <row r="27" spans="1:24" x14ac:dyDescent="0.3">
      <c r="C27" s="69"/>
      <c r="D27" s="69"/>
      <c r="Q27" s="201"/>
      <c r="R27" s="157"/>
    </row>
    <row r="28" spans="1:24" x14ac:dyDescent="0.3">
      <c r="C28" s="69" t="s">
        <v>145</v>
      </c>
      <c r="D28" s="69"/>
      <c r="G28" s="157">
        <f>COUNTIF(E19:E21,"*D*")</f>
        <v>0</v>
      </c>
      <c r="Q28" s="201"/>
      <c r="R28" s="157"/>
    </row>
    <row r="29" spans="1:24" x14ac:dyDescent="0.3">
      <c r="C29" s="69" t="s">
        <v>146</v>
      </c>
      <c r="D29" s="69"/>
      <c r="G29" s="157">
        <f>COUNTIF(E19:E21,"*S*")</f>
        <v>0</v>
      </c>
      <c r="Q29" s="201"/>
      <c r="R29" s="157"/>
    </row>
    <row r="30" spans="1:24" x14ac:dyDescent="0.3">
      <c r="C30" s="69" t="s">
        <v>147</v>
      </c>
      <c r="D30" s="69"/>
      <c r="G30" s="157">
        <f>COUNTIF(E19:E21,"*K*")</f>
        <v>0</v>
      </c>
      <c r="Q30" s="201"/>
      <c r="R30" s="157"/>
    </row>
    <row r="31" spans="1:24" ht="15" thickBot="1" x14ac:dyDescent="0.35">
      <c r="C31" s="69" t="s">
        <v>148</v>
      </c>
      <c r="D31" s="69"/>
      <c r="G31" s="157">
        <f>COUNTIF(E19:E21,"*Z*")</f>
        <v>0</v>
      </c>
      <c r="Q31" s="201"/>
      <c r="R31" s="157"/>
    </row>
    <row r="32" spans="1:24" s="154" customFormat="1" ht="16.2" thickBot="1" x14ac:dyDescent="0.35">
      <c r="A32" s="150" t="s">
        <v>106</v>
      </c>
      <c r="B32" s="151"/>
      <c r="C32" s="151"/>
      <c r="D32" s="151"/>
      <c r="E32" s="151"/>
      <c r="F32" s="151"/>
      <c r="G32" s="152"/>
      <c r="H32" s="153"/>
      <c r="I32" s="153"/>
      <c r="J32" s="153"/>
      <c r="K32" s="153"/>
      <c r="L32" s="153"/>
      <c r="M32" s="153"/>
      <c r="N32" s="153"/>
      <c r="O32" s="153"/>
      <c r="P32" s="153"/>
      <c r="Q32" s="202"/>
      <c r="R32" s="153"/>
      <c r="S32" s="153"/>
      <c r="U32" s="155"/>
      <c r="V32" s="155"/>
      <c r="W32" s="155"/>
      <c r="X32" s="155"/>
    </row>
    <row r="33" spans="1:19" x14ac:dyDescent="0.3">
      <c r="A33" s="156"/>
      <c r="B33" s="355"/>
      <c r="G33" s="158"/>
      <c r="J33" s="160"/>
      <c r="K33" s="160"/>
      <c r="M33" s="161"/>
      <c r="N33" s="162"/>
      <c r="O33" s="162"/>
      <c r="P33" s="163"/>
      <c r="Q33" s="201"/>
      <c r="R33" s="159"/>
    </row>
    <row r="34" spans="1:19" x14ac:dyDescent="0.3">
      <c r="A34" s="156"/>
      <c r="G34" s="158"/>
      <c r="J34" s="160"/>
      <c r="K34" s="160"/>
      <c r="M34" s="161"/>
      <c r="N34" s="162"/>
      <c r="O34" s="162"/>
      <c r="P34" s="163"/>
      <c r="Q34" s="201"/>
      <c r="R34" s="159"/>
    </row>
    <row r="35" spans="1:19" x14ac:dyDescent="0.3">
      <c r="A35" s="156"/>
      <c r="G35" s="158"/>
      <c r="J35" s="160"/>
      <c r="K35" s="160"/>
      <c r="M35" s="161"/>
      <c r="N35" s="162"/>
      <c r="O35" s="162"/>
      <c r="P35" s="163"/>
      <c r="Q35" s="201"/>
      <c r="R35" s="159"/>
    </row>
    <row r="36" spans="1:19" x14ac:dyDescent="0.3">
      <c r="A36" s="156"/>
      <c r="C36" s="69" t="s">
        <v>140</v>
      </c>
      <c r="D36" s="69"/>
      <c r="G36" s="157">
        <f>COUNTIF(S33:S35,"*áno*")</f>
        <v>0</v>
      </c>
      <c r="J36" s="160"/>
      <c r="K36" s="160"/>
      <c r="M36" s="161"/>
      <c r="N36" s="162"/>
      <c r="O36" s="162"/>
      <c r="P36" s="163"/>
      <c r="Q36" s="201"/>
      <c r="R36" s="159"/>
    </row>
    <row r="37" spans="1:19" x14ac:dyDescent="0.3">
      <c r="A37" s="156"/>
      <c r="C37" s="69" t="s">
        <v>141</v>
      </c>
      <c r="D37" s="69"/>
      <c r="G37" s="157">
        <f>COUNTIF(E33:E35,"*w*")</f>
        <v>0</v>
      </c>
      <c r="J37" s="160"/>
      <c r="K37" s="160"/>
      <c r="M37" s="161"/>
      <c r="N37" s="162"/>
      <c r="O37" s="162"/>
      <c r="P37" s="163"/>
      <c r="Q37" s="201"/>
      <c r="R37" s="159"/>
    </row>
    <row r="38" spans="1:19" x14ac:dyDescent="0.3">
      <c r="A38" s="156"/>
      <c r="C38" s="69" t="s">
        <v>142</v>
      </c>
      <c r="D38" s="69"/>
      <c r="G38" s="157">
        <f>COUNTIF(E33:E35,"*P*")</f>
        <v>0</v>
      </c>
      <c r="J38" s="160"/>
      <c r="K38" s="160"/>
      <c r="M38" s="161"/>
      <c r="N38" s="162"/>
      <c r="O38" s="162"/>
      <c r="P38" s="163"/>
      <c r="Q38" s="201"/>
      <c r="R38" s="159"/>
    </row>
    <row r="39" spans="1:19" x14ac:dyDescent="0.3">
      <c r="A39" s="156"/>
      <c r="C39" s="69" t="s">
        <v>143</v>
      </c>
      <c r="D39" s="69"/>
      <c r="G39" s="157">
        <f>COUNTIF(E33:E35,"*L*")</f>
        <v>0</v>
      </c>
      <c r="J39" s="160"/>
      <c r="K39" s="160"/>
      <c r="M39" s="161"/>
      <c r="N39" s="162"/>
      <c r="O39" s="162"/>
      <c r="P39" s="163"/>
      <c r="Q39" s="201"/>
      <c r="R39" s="159"/>
    </row>
    <row r="40" spans="1:19" x14ac:dyDescent="0.3">
      <c r="A40" s="156"/>
      <c r="C40" s="69" t="s">
        <v>144</v>
      </c>
      <c r="D40" s="69"/>
      <c r="G40" s="157">
        <f>COUNTIF(E33:E35,"*V*")</f>
        <v>0</v>
      </c>
      <c r="J40" s="160"/>
      <c r="K40" s="160"/>
      <c r="M40" s="161"/>
      <c r="N40" s="162"/>
      <c r="O40" s="162"/>
      <c r="P40" s="163"/>
      <c r="Q40" s="201"/>
      <c r="R40" s="159"/>
    </row>
    <row r="41" spans="1:19" x14ac:dyDescent="0.3">
      <c r="A41" s="156"/>
      <c r="C41" s="69"/>
      <c r="D41" s="69"/>
      <c r="J41" s="160"/>
      <c r="K41" s="160"/>
      <c r="M41" s="161"/>
      <c r="N41" s="162"/>
      <c r="O41" s="162"/>
      <c r="P41" s="163"/>
      <c r="Q41" s="201"/>
      <c r="R41" s="159"/>
    </row>
    <row r="42" spans="1:19" x14ac:dyDescent="0.3">
      <c r="A42" s="156"/>
      <c r="C42" s="69" t="s">
        <v>145</v>
      </c>
      <c r="D42" s="69"/>
      <c r="G42" s="157">
        <f>COUNTIF(E32:E32,"*D*")</f>
        <v>0</v>
      </c>
      <c r="J42" s="160"/>
      <c r="K42" s="160"/>
      <c r="M42" s="161"/>
      <c r="N42" s="162"/>
      <c r="O42" s="162"/>
      <c r="P42" s="163"/>
      <c r="Q42" s="201"/>
      <c r="R42" s="159"/>
    </row>
    <row r="43" spans="1:19" x14ac:dyDescent="0.3">
      <c r="A43" s="156"/>
      <c r="C43" s="69" t="s">
        <v>146</v>
      </c>
      <c r="D43" s="69"/>
      <c r="G43" s="157">
        <f>COUNTIF(E33:E35,"*S*")</f>
        <v>0</v>
      </c>
      <c r="J43" s="160"/>
      <c r="K43" s="160"/>
      <c r="M43" s="161"/>
      <c r="N43" s="162"/>
      <c r="O43" s="162"/>
      <c r="P43" s="163"/>
      <c r="Q43" s="201"/>
      <c r="R43" s="159"/>
    </row>
    <row r="44" spans="1:19" x14ac:dyDescent="0.3">
      <c r="A44" s="156"/>
      <c r="C44" s="69" t="s">
        <v>147</v>
      </c>
      <c r="D44" s="69"/>
      <c r="G44" s="157">
        <f>COUNTIF(E33:E35,"*K*")</f>
        <v>0</v>
      </c>
      <c r="J44" s="160"/>
      <c r="K44" s="160"/>
      <c r="M44" s="161"/>
      <c r="N44" s="162"/>
      <c r="O44" s="162"/>
      <c r="P44" s="163"/>
      <c r="Q44" s="201"/>
      <c r="R44" s="159"/>
    </row>
    <row r="45" spans="1:19" ht="15" thickBot="1" x14ac:dyDescent="0.35">
      <c r="A45" s="156"/>
      <c r="C45" s="69" t="s">
        <v>148</v>
      </c>
      <c r="D45" s="69"/>
      <c r="G45" s="157">
        <f>COUNTIF(E33:E35,"*Z*")</f>
        <v>0</v>
      </c>
      <c r="J45" s="160"/>
      <c r="K45" s="160"/>
      <c r="M45" s="161"/>
      <c r="N45" s="162"/>
      <c r="O45" s="162"/>
      <c r="P45" s="163"/>
      <c r="Q45" s="201"/>
      <c r="R45" s="159"/>
    </row>
    <row r="46" spans="1:19" s="151" customFormat="1" ht="16.2" thickBot="1" x14ac:dyDescent="0.35">
      <c r="A46" s="164" t="s">
        <v>107</v>
      </c>
      <c r="G46" s="152"/>
      <c r="J46" s="166"/>
      <c r="K46" s="166"/>
      <c r="M46" s="167"/>
      <c r="N46" s="168"/>
      <c r="O46" s="168"/>
      <c r="P46" s="169"/>
      <c r="Q46" s="203"/>
      <c r="R46" s="165"/>
      <c r="S46" s="170"/>
    </row>
    <row r="47" spans="1:19" s="172" customFormat="1" x14ac:dyDescent="0.3">
      <c r="A47" s="171"/>
      <c r="G47" s="173"/>
      <c r="J47" s="175"/>
      <c r="K47" s="175"/>
      <c r="M47" s="176"/>
      <c r="N47" s="177"/>
      <c r="O47" s="177"/>
      <c r="P47" s="178"/>
      <c r="Q47" s="204"/>
      <c r="R47" s="174"/>
    </row>
    <row r="48" spans="1:19" s="172" customFormat="1" x14ac:dyDescent="0.3">
      <c r="A48" s="171"/>
      <c r="G48" s="173"/>
      <c r="J48" s="175"/>
      <c r="K48" s="175"/>
      <c r="M48" s="176"/>
      <c r="N48" s="177"/>
      <c r="O48" s="177"/>
      <c r="P48" s="178"/>
      <c r="Q48" s="204"/>
      <c r="R48" s="174"/>
    </row>
    <row r="49" spans="1:19" s="172" customFormat="1" x14ac:dyDescent="0.3">
      <c r="A49" s="171"/>
      <c r="G49" s="173"/>
      <c r="J49" s="175"/>
      <c r="K49" s="175"/>
      <c r="M49" s="176"/>
      <c r="N49" s="177"/>
      <c r="O49" s="177"/>
      <c r="P49" s="178"/>
      <c r="Q49" s="204"/>
      <c r="R49" s="174"/>
    </row>
    <row r="50" spans="1:19" s="172" customFormat="1" x14ac:dyDescent="0.3">
      <c r="A50" s="171"/>
      <c r="G50" s="173"/>
      <c r="J50" s="175"/>
      <c r="K50" s="175"/>
      <c r="M50" s="176"/>
      <c r="N50" s="177"/>
      <c r="O50" s="177"/>
      <c r="P50" s="178"/>
      <c r="Q50" s="204"/>
      <c r="R50" s="174"/>
    </row>
    <row r="51" spans="1:19" x14ac:dyDescent="0.3">
      <c r="A51" s="156"/>
      <c r="G51" s="158"/>
      <c r="J51" s="160"/>
      <c r="K51" s="160"/>
      <c r="M51" s="161"/>
      <c r="N51" s="162"/>
      <c r="O51" s="162"/>
      <c r="P51" s="163"/>
      <c r="Q51" s="201"/>
      <c r="R51" s="159"/>
    </row>
    <row r="52" spans="1:19" x14ac:dyDescent="0.3">
      <c r="A52" s="156"/>
      <c r="C52" s="69" t="s">
        <v>140</v>
      </c>
      <c r="D52" s="69"/>
      <c r="G52" s="157">
        <f>COUNTIF(S47:S51,"*áno*")</f>
        <v>0</v>
      </c>
      <c r="J52" s="160"/>
      <c r="K52" s="160"/>
      <c r="M52" s="161"/>
      <c r="N52" s="162"/>
      <c r="O52" s="162"/>
      <c r="P52" s="163"/>
      <c r="Q52" s="201"/>
      <c r="R52" s="159"/>
    </row>
    <row r="53" spans="1:19" x14ac:dyDescent="0.3">
      <c r="A53" s="156"/>
      <c r="C53" s="69" t="s">
        <v>141</v>
      </c>
      <c r="D53" s="69"/>
      <c r="G53" s="157">
        <f>COUNTIF(E47:E51,"*w*")</f>
        <v>0</v>
      </c>
      <c r="J53" s="160"/>
      <c r="K53" s="160"/>
      <c r="M53" s="161"/>
      <c r="N53" s="162"/>
      <c r="O53" s="162"/>
      <c r="P53" s="163"/>
      <c r="Q53" s="201"/>
      <c r="R53" s="159"/>
    </row>
    <row r="54" spans="1:19" x14ac:dyDescent="0.3">
      <c r="A54" s="156"/>
      <c r="C54" s="69" t="s">
        <v>142</v>
      </c>
      <c r="D54" s="69"/>
      <c r="G54" s="157">
        <f>COUNTIF(E47:E51,"*P*")</f>
        <v>0</v>
      </c>
      <c r="J54" s="160"/>
      <c r="K54" s="160"/>
      <c r="M54" s="161"/>
      <c r="N54" s="162"/>
      <c r="O54" s="162"/>
      <c r="P54" s="163"/>
      <c r="Q54" s="201"/>
      <c r="R54" s="159"/>
    </row>
    <row r="55" spans="1:19" x14ac:dyDescent="0.3">
      <c r="A55" s="156"/>
      <c r="C55" s="69" t="s">
        <v>143</v>
      </c>
      <c r="D55" s="69"/>
      <c r="G55" s="157">
        <f>COUNTIF(E47:E51,"*L*")</f>
        <v>0</v>
      </c>
      <c r="J55" s="160"/>
      <c r="K55" s="160"/>
      <c r="M55" s="161"/>
      <c r="N55" s="162"/>
      <c r="O55" s="162"/>
      <c r="P55" s="163"/>
      <c r="Q55" s="201"/>
      <c r="R55" s="159"/>
    </row>
    <row r="56" spans="1:19" x14ac:dyDescent="0.3">
      <c r="A56" s="156"/>
      <c r="C56" s="69" t="s">
        <v>144</v>
      </c>
      <c r="D56" s="69"/>
      <c r="G56" s="157">
        <f>COUNTIF(E47:E51,"*V*")</f>
        <v>0</v>
      </c>
      <c r="J56" s="160"/>
      <c r="K56" s="160"/>
      <c r="M56" s="161"/>
      <c r="N56" s="162"/>
      <c r="O56" s="162"/>
      <c r="P56" s="163"/>
      <c r="Q56" s="201"/>
      <c r="R56" s="159"/>
    </row>
    <row r="57" spans="1:19" x14ac:dyDescent="0.3">
      <c r="A57" s="156"/>
      <c r="C57" s="69"/>
      <c r="D57" s="69"/>
      <c r="J57" s="160"/>
      <c r="K57" s="160"/>
      <c r="M57" s="161"/>
      <c r="N57" s="162"/>
      <c r="O57" s="162"/>
      <c r="P57" s="163"/>
      <c r="Q57" s="201"/>
      <c r="R57" s="159"/>
    </row>
    <row r="58" spans="1:19" x14ac:dyDescent="0.3">
      <c r="A58" s="156"/>
      <c r="C58" s="69" t="s">
        <v>145</v>
      </c>
      <c r="D58" s="69"/>
      <c r="G58" s="157">
        <f>COUNTIF(E47:E51,"*D*")</f>
        <v>0</v>
      </c>
      <c r="J58" s="160"/>
      <c r="K58" s="160"/>
      <c r="M58" s="161"/>
      <c r="N58" s="162"/>
      <c r="O58" s="162"/>
      <c r="P58" s="163"/>
      <c r="Q58" s="201"/>
      <c r="R58" s="159"/>
    </row>
    <row r="59" spans="1:19" x14ac:dyDescent="0.3">
      <c r="A59" s="156"/>
      <c r="C59" s="69" t="s">
        <v>146</v>
      </c>
      <c r="D59" s="69"/>
      <c r="G59" s="157">
        <f>COUNTIF(E47:E51,"*S*")</f>
        <v>0</v>
      </c>
      <c r="J59" s="160"/>
      <c r="K59" s="160"/>
      <c r="M59" s="161"/>
      <c r="N59" s="162"/>
      <c r="O59" s="162"/>
      <c r="P59" s="163"/>
      <c r="Q59" s="201"/>
      <c r="R59" s="159"/>
    </row>
    <row r="60" spans="1:19" x14ac:dyDescent="0.3">
      <c r="A60" s="156"/>
      <c r="C60" s="69" t="s">
        <v>147</v>
      </c>
      <c r="D60" s="69"/>
      <c r="G60" s="157">
        <f>COUNTIF(E47:E51,"*K*")</f>
        <v>0</v>
      </c>
      <c r="J60" s="160"/>
      <c r="K60" s="160"/>
      <c r="M60" s="161"/>
      <c r="N60" s="162"/>
      <c r="O60" s="162"/>
      <c r="P60" s="163"/>
      <c r="Q60" s="201"/>
      <c r="R60" s="159"/>
    </row>
    <row r="61" spans="1:19" ht="15" thickBot="1" x14ac:dyDescent="0.35">
      <c r="A61" s="156"/>
      <c r="C61" s="69" t="s">
        <v>148</v>
      </c>
      <c r="D61" s="69"/>
      <c r="G61" s="157">
        <f>COUNTIF(E47:E51,"*Z*")</f>
        <v>0</v>
      </c>
      <c r="J61" s="160"/>
      <c r="K61" s="160"/>
      <c r="M61" s="161"/>
      <c r="N61" s="162"/>
      <c r="O61" s="162"/>
      <c r="P61" s="163"/>
      <c r="Q61" s="201"/>
      <c r="R61" s="159"/>
    </row>
    <row r="62" spans="1:19" s="151" customFormat="1" ht="16.2" thickBot="1" x14ac:dyDescent="0.35">
      <c r="A62" s="164" t="s">
        <v>108</v>
      </c>
      <c r="G62" s="152"/>
      <c r="J62" s="166"/>
      <c r="K62" s="166"/>
      <c r="M62" s="167"/>
      <c r="N62" s="168"/>
      <c r="O62" s="168"/>
      <c r="P62" s="169"/>
      <c r="Q62" s="203"/>
      <c r="R62" s="165"/>
    </row>
    <row r="63" spans="1:19" ht="28.8" x14ac:dyDescent="0.3">
      <c r="A63" s="156">
        <v>43588</v>
      </c>
      <c r="B63" s="355" t="s">
        <v>281</v>
      </c>
      <c r="C63" s="157" t="s">
        <v>277</v>
      </c>
      <c r="D63" s="157" t="s">
        <v>308</v>
      </c>
      <c r="E63" s="157" t="s">
        <v>278</v>
      </c>
      <c r="F63" s="157" t="s">
        <v>279</v>
      </c>
      <c r="G63" s="158">
        <v>51</v>
      </c>
      <c r="H63" s="157" t="s">
        <v>280</v>
      </c>
      <c r="J63" s="160">
        <v>6.8</v>
      </c>
      <c r="K63" s="160"/>
      <c r="L63" s="157" t="s">
        <v>229</v>
      </c>
      <c r="M63" s="161">
        <v>39.6</v>
      </c>
      <c r="N63" s="162">
        <v>15.2</v>
      </c>
      <c r="O63" s="162">
        <v>0</v>
      </c>
      <c r="P63" s="163">
        <v>0</v>
      </c>
      <c r="Q63" s="201">
        <v>100</v>
      </c>
      <c r="R63" s="159">
        <v>0.8</v>
      </c>
      <c r="S63" s="157" t="s">
        <v>284</v>
      </c>
    </row>
    <row r="64" spans="1:19" ht="28.8" x14ac:dyDescent="0.3">
      <c r="A64" s="156">
        <v>43588</v>
      </c>
      <c r="B64" s="355" t="s">
        <v>286</v>
      </c>
      <c r="C64" s="157" t="s">
        <v>277</v>
      </c>
      <c r="D64" s="157" t="s">
        <v>308</v>
      </c>
      <c r="E64" s="157" t="s">
        <v>285</v>
      </c>
      <c r="F64" s="157" t="s">
        <v>282</v>
      </c>
      <c r="G64" s="158">
        <v>49</v>
      </c>
      <c r="H64" s="157" t="s">
        <v>283</v>
      </c>
      <c r="I64" s="157" t="s">
        <v>230</v>
      </c>
      <c r="J64" s="160"/>
      <c r="K64" s="160"/>
      <c r="M64" s="161">
        <v>7.2</v>
      </c>
      <c r="N64" s="162">
        <v>6.5</v>
      </c>
      <c r="O64" s="162">
        <v>0</v>
      </c>
      <c r="P64" s="163">
        <v>0</v>
      </c>
      <c r="Q64" s="201">
        <v>23</v>
      </c>
      <c r="R64" s="159">
        <v>11</v>
      </c>
      <c r="S64" s="157" t="s">
        <v>284</v>
      </c>
    </row>
    <row r="65" spans="1:20" ht="28.8" x14ac:dyDescent="0.3">
      <c r="A65" s="156">
        <v>43611</v>
      </c>
      <c r="B65" s="355" t="s">
        <v>291</v>
      </c>
      <c r="C65" s="157" t="s">
        <v>292</v>
      </c>
      <c r="D65" s="157" t="s">
        <v>319</v>
      </c>
      <c r="E65" s="157" t="s">
        <v>293</v>
      </c>
      <c r="F65" s="157" t="s">
        <v>279</v>
      </c>
      <c r="G65" s="158">
        <v>52</v>
      </c>
      <c r="H65" s="157" t="s">
        <v>294</v>
      </c>
      <c r="I65" s="157" t="s">
        <v>227</v>
      </c>
      <c r="J65" s="160"/>
      <c r="K65" s="160"/>
      <c r="M65" s="161">
        <v>1.2</v>
      </c>
      <c r="N65" s="162">
        <v>0.2</v>
      </c>
      <c r="O65" s="162">
        <v>0</v>
      </c>
      <c r="P65" s="163">
        <v>0</v>
      </c>
      <c r="Q65" s="201">
        <v>1</v>
      </c>
      <c r="R65" s="159">
        <v>14</v>
      </c>
      <c r="S65" s="157" t="s">
        <v>284</v>
      </c>
    </row>
    <row r="66" spans="1:20" ht="28.8" x14ac:dyDescent="0.3">
      <c r="A66" s="156">
        <v>43613</v>
      </c>
      <c r="B66" s="355" t="s">
        <v>300</v>
      </c>
      <c r="C66" s="157" t="s">
        <v>277</v>
      </c>
      <c r="D66" s="157" t="s">
        <v>308</v>
      </c>
      <c r="E66" s="157" t="s">
        <v>278</v>
      </c>
      <c r="F66" s="157" t="s">
        <v>297</v>
      </c>
      <c r="G66" s="158">
        <v>59</v>
      </c>
      <c r="H66" s="157" t="s">
        <v>298</v>
      </c>
      <c r="I66" s="157" t="s">
        <v>325</v>
      </c>
      <c r="J66" s="160">
        <v>8.9</v>
      </c>
      <c r="K66" s="160"/>
      <c r="M66" s="161">
        <v>87.1</v>
      </c>
      <c r="N66" s="162">
        <v>23</v>
      </c>
      <c r="O66" s="162">
        <v>10</v>
      </c>
      <c r="P66" s="163">
        <v>0</v>
      </c>
      <c r="Q66" s="201">
        <v>84</v>
      </c>
      <c r="R66" s="159">
        <v>1.5</v>
      </c>
      <c r="S66" s="157" t="s">
        <v>284</v>
      </c>
      <c r="T66" s="157" t="s">
        <v>299</v>
      </c>
    </row>
    <row r="67" spans="1:20" x14ac:dyDescent="0.3">
      <c r="A67" s="156"/>
      <c r="G67" s="158"/>
      <c r="J67" s="160"/>
      <c r="K67" s="160"/>
      <c r="M67" s="161"/>
      <c r="N67" s="162"/>
      <c r="O67" s="162"/>
      <c r="P67" s="163"/>
      <c r="Q67" s="201"/>
      <c r="R67" s="159"/>
    </row>
    <row r="68" spans="1:20" x14ac:dyDescent="0.3">
      <c r="A68" s="156"/>
      <c r="G68" s="158"/>
      <c r="J68" s="160"/>
      <c r="K68" s="160"/>
      <c r="M68" s="161"/>
      <c r="N68" s="162"/>
      <c r="O68" s="162"/>
      <c r="P68" s="163"/>
      <c r="Q68" s="201"/>
      <c r="R68" s="159"/>
    </row>
    <row r="69" spans="1:20" x14ac:dyDescent="0.3">
      <c r="A69" s="156"/>
      <c r="C69" s="69" t="s">
        <v>140</v>
      </c>
      <c r="D69" s="69"/>
      <c r="G69" s="157">
        <f>COUNTIF(S63:S68,"*áno*")</f>
        <v>4</v>
      </c>
      <c r="J69" s="160"/>
      <c r="K69" s="160"/>
      <c r="M69" s="161"/>
      <c r="N69" s="162"/>
      <c r="O69" s="162"/>
      <c r="P69" s="163"/>
      <c r="Q69" s="201"/>
      <c r="R69" s="159"/>
    </row>
    <row r="70" spans="1:20" x14ac:dyDescent="0.3">
      <c r="A70" s="156"/>
      <c r="C70" s="69" t="s">
        <v>141</v>
      </c>
      <c r="D70" s="69"/>
      <c r="G70" s="157">
        <f>COUNTIF(E63:E68,"*w*")</f>
        <v>3</v>
      </c>
      <c r="J70" s="160"/>
      <c r="K70" s="160"/>
      <c r="M70" s="161"/>
      <c r="N70" s="162"/>
      <c r="O70" s="162"/>
      <c r="P70" s="163"/>
      <c r="Q70" s="201"/>
      <c r="R70" s="159"/>
    </row>
    <row r="71" spans="1:20" x14ac:dyDescent="0.3">
      <c r="A71" s="156"/>
      <c r="C71" s="69" t="s">
        <v>142</v>
      </c>
      <c r="D71" s="69"/>
      <c r="G71" s="157">
        <f>COUNTIF(E63:E68,"*P*")</f>
        <v>2</v>
      </c>
      <c r="J71" s="160"/>
      <c r="K71" s="160"/>
      <c r="M71" s="161"/>
      <c r="N71" s="162"/>
      <c r="O71" s="162"/>
      <c r="P71" s="163"/>
      <c r="Q71" s="201"/>
      <c r="R71" s="159"/>
    </row>
    <row r="72" spans="1:20" x14ac:dyDescent="0.3">
      <c r="A72" s="156"/>
      <c r="C72" s="69" t="s">
        <v>143</v>
      </c>
      <c r="D72" s="69"/>
      <c r="G72" s="157">
        <f>COUNTIF(E63:E68,"*L*")</f>
        <v>0</v>
      </c>
      <c r="J72" s="160"/>
      <c r="K72" s="160"/>
      <c r="M72" s="161"/>
      <c r="N72" s="162"/>
      <c r="O72" s="162"/>
      <c r="P72" s="163"/>
      <c r="Q72" s="201"/>
      <c r="R72" s="159"/>
    </row>
    <row r="73" spans="1:20" x14ac:dyDescent="0.3">
      <c r="A73" s="156"/>
      <c r="C73" s="69" t="s">
        <v>144</v>
      </c>
      <c r="D73" s="69"/>
      <c r="G73" s="157">
        <f>COUNTIF(E63:E68,"*V*")</f>
        <v>2</v>
      </c>
      <c r="J73" s="160"/>
      <c r="K73" s="160"/>
      <c r="M73" s="161"/>
      <c r="N73" s="162"/>
      <c r="O73" s="162"/>
      <c r="P73" s="163"/>
      <c r="Q73" s="201"/>
      <c r="R73" s="159"/>
    </row>
    <row r="74" spans="1:20" x14ac:dyDescent="0.3">
      <c r="A74" s="156"/>
      <c r="C74" s="69"/>
      <c r="D74" s="69"/>
      <c r="J74" s="160"/>
      <c r="K74" s="160"/>
      <c r="M74" s="161"/>
      <c r="N74" s="162"/>
      <c r="O74" s="162"/>
      <c r="P74" s="163"/>
      <c r="Q74" s="201"/>
      <c r="R74" s="159"/>
    </row>
    <row r="75" spans="1:20" x14ac:dyDescent="0.3">
      <c r="A75" s="156"/>
      <c r="C75" s="69" t="s">
        <v>145</v>
      </c>
      <c r="D75" s="69"/>
      <c r="G75" s="157">
        <f>COUNTIF(E63:E68,"*D*")</f>
        <v>4</v>
      </c>
      <c r="J75" s="160"/>
      <c r="K75" s="160"/>
      <c r="M75" s="161"/>
      <c r="N75" s="162"/>
      <c r="O75" s="162"/>
      <c r="P75" s="163"/>
      <c r="Q75" s="201"/>
      <c r="R75" s="159"/>
    </row>
    <row r="76" spans="1:20" x14ac:dyDescent="0.3">
      <c r="A76" s="156"/>
      <c r="C76" s="69" t="s">
        <v>146</v>
      </c>
      <c r="D76" s="69"/>
      <c r="G76" s="157">
        <f>COUNTIF(E63:E68,"*S*")</f>
        <v>0</v>
      </c>
      <c r="J76" s="160"/>
      <c r="K76" s="160"/>
      <c r="M76" s="161"/>
      <c r="N76" s="162"/>
      <c r="O76" s="162"/>
      <c r="P76" s="163"/>
      <c r="Q76" s="201"/>
      <c r="R76" s="159"/>
    </row>
    <row r="77" spans="1:20" x14ac:dyDescent="0.3">
      <c r="A77" s="156"/>
      <c r="C77" s="69" t="s">
        <v>147</v>
      </c>
      <c r="D77" s="69"/>
      <c r="G77" s="157">
        <f>COUNTIF(E63:E68,"*K*")</f>
        <v>0</v>
      </c>
      <c r="J77" s="160"/>
      <c r="K77" s="160"/>
      <c r="M77" s="161"/>
      <c r="N77" s="162"/>
      <c r="O77" s="162"/>
      <c r="P77" s="163"/>
      <c r="Q77" s="201"/>
      <c r="R77" s="159"/>
    </row>
    <row r="78" spans="1:20" ht="15" thickBot="1" x14ac:dyDescent="0.35">
      <c r="A78" s="156"/>
      <c r="C78" s="69" t="s">
        <v>148</v>
      </c>
      <c r="D78" s="69"/>
      <c r="G78" s="157">
        <f>COUNTIF(E63:E68,"*Z*")</f>
        <v>4</v>
      </c>
      <c r="J78" s="160"/>
      <c r="K78" s="160"/>
      <c r="M78" s="161"/>
      <c r="N78" s="162"/>
      <c r="O78" s="162"/>
      <c r="P78" s="163"/>
      <c r="Q78" s="201"/>
      <c r="R78" s="159"/>
    </row>
    <row r="79" spans="1:20" s="151" customFormat="1" ht="16.2" thickBot="1" x14ac:dyDescent="0.35">
      <c r="A79" s="164" t="s">
        <v>112</v>
      </c>
      <c r="G79" s="152"/>
      <c r="J79" s="166"/>
      <c r="K79" s="166"/>
      <c r="M79" s="167"/>
      <c r="N79" s="168"/>
      <c r="O79" s="168"/>
      <c r="P79" s="169"/>
      <c r="Q79" s="203"/>
      <c r="R79" s="165"/>
    </row>
    <row r="80" spans="1:20" s="172" customFormat="1" ht="28.8" x14ac:dyDescent="0.3">
      <c r="A80" s="171">
        <v>43624</v>
      </c>
      <c r="B80" s="180" t="s">
        <v>312</v>
      </c>
      <c r="C80" s="172" t="s">
        <v>311</v>
      </c>
      <c r="D80" s="172" t="s">
        <v>308</v>
      </c>
      <c r="E80" s="172" t="s">
        <v>313</v>
      </c>
      <c r="F80" s="172" t="s">
        <v>297</v>
      </c>
      <c r="G80" s="173">
        <v>42</v>
      </c>
      <c r="H80" s="172" t="s">
        <v>309</v>
      </c>
      <c r="I80" s="172" t="s">
        <v>236</v>
      </c>
      <c r="J80" s="175">
        <v>6.5</v>
      </c>
      <c r="K80" s="175"/>
      <c r="M80" s="176">
        <v>0.8</v>
      </c>
      <c r="N80" s="177">
        <v>0.3</v>
      </c>
      <c r="O80" s="177">
        <v>0</v>
      </c>
      <c r="P80" s="178">
        <v>0</v>
      </c>
      <c r="Q80" s="204">
        <v>26</v>
      </c>
      <c r="R80" s="174">
        <v>6</v>
      </c>
      <c r="S80" s="172" t="s">
        <v>284</v>
      </c>
      <c r="T80" s="172" t="s">
        <v>310</v>
      </c>
    </row>
    <row r="81" spans="1:20" s="172" customFormat="1" ht="57.6" x14ac:dyDescent="0.3">
      <c r="A81" s="171">
        <v>43630</v>
      </c>
      <c r="B81" s="180" t="s">
        <v>322</v>
      </c>
      <c r="C81" s="172" t="s">
        <v>292</v>
      </c>
      <c r="D81" s="172" t="s">
        <v>319</v>
      </c>
      <c r="E81" s="172" t="s">
        <v>348</v>
      </c>
      <c r="F81" s="172" t="s">
        <v>320</v>
      </c>
      <c r="G81" s="173">
        <v>51</v>
      </c>
      <c r="H81" s="172" t="s">
        <v>341</v>
      </c>
      <c r="I81" s="172" t="s">
        <v>234</v>
      </c>
      <c r="J81" s="175">
        <v>5.8</v>
      </c>
      <c r="K81" s="175"/>
      <c r="L81" s="172" t="s">
        <v>232</v>
      </c>
      <c r="M81" s="176">
        <v>9.6</v>
      </c>
      <c r="N81" s="177">
        <v>2.4</v>
      </c>
      <c r="O81" s="177">
        <v>5</v>
      </c>
      <c r="P81" s="178">
        <v>0</v>
      </c>
      <c r="Q81" s="204">
        <v>3541</v>
      </c>
      <c r="R81" s="174">
        <v>0.1</v>
      </c>
      <c r="S81" s="172" t="s">
        <v>284</v>
      </c>
      <c r="T81" s="172" t="s">
        <v>321</v>
      </c>
    </row>
    <row r="82" spans="1:20" s="172" customFormat="1" ht="43.2" x14ac:dyDescent="0.3">
      <c r="A82" s="171">
        <v>43632</v>
      </c>
      <c r="B82" s="180" t="s">
        <v>327</v>
      </c>
      <c r="C82" s="172" t="s">
        <v>277</v>
      </c>
      <c r="D82" s="172" t="s">
        <v>324</v>
      </c>
      <c r="E82" s="172" t="s">
        <v>348</v>
      </c>
      <c r="F82" s="172" t="s">
        <v>282</v>
      </c>
      <c r="G82" s="173">
        <v>63</v>
      </c>
      <c r="H82" s="172" t="s">
        <v>330</v>
      </c>
      <c r="I82" s="172" t="s">
        <v>325</v>
      </c>
      <c r="J82" s="175">
        <v>8.5</v>
      </c>
      <c r="K82" s="175"/>
      <c r="L82" s="172" t="s">
        <v>328</v>
      </c>
      <c r="M82" s="176">
        <v>59.9</v>
      </c>
      <c r="N82" s="177">
        <v>16.100000000000001</v>
      </c>
      <c r="O82" s="177">
        <v>20</v>
      </c>
      <c r="P82" s="178">
        <v>0</v>
      </c>
      <c r="Q82" s="204">
        <v>179</v>
      </c>
      <c r="R82" s="174">
        <v>0.4</v>
      </c>
      <c r="S82" s="172" t="s">
        <v>284</v>
      </c>
      <c r="T82" s="172" t="s">
        <v>326</v>
      </c>
    </row>
    <row r="83" spans="1:20" s="172" customFormat="1" ht="28.8" x14ac:dyDescent="0.3">
      <c r="A83" s="171">
        <v>43632</v>
      </c>
      <c r="B83" s="180" t="s">
        <v>331</v>
      </c>
      <c r="C83" s="172" t="s">
        <v>277</v>
      </c>
      <c r="D83" s="172" t="s">
        <v>329</v>
      </c>
      <c r="E83" s="172" t="s">
        <v>349</v>
      </c>
      <c r="F83" s="172" t="s">
        <v>282</v>
      </c>
      <c r="G83" s="173">
        <v>38</v>
      </c>
      <c r="H83" s="172" t="s">
        <v>332</v>
      </c>
      <c r="I83" s="172" t="s">
        <v>325</v>
      </c>
      <c r="J83" s="175">
        <v>9.1999999999999993</v>
      </c>
      <c r="K83" s="175"/>
      <c r="L83" s="172" t="s">
        <v>231</v>
      </c>
      <c r="M83" s="176">
        <v>4.8</v>
      </c>
      <c r="N83" s="177">
        <v>0.7</v>
      </c>
      <c r="O83" s="177">
        <v>0</v>
      </c>
      <c r="P83" s="178">
        <v>0</v>
      </c>
      <c r="Q83" s="204">
        <v>1</v>
      </c>
      <c r="R83" s="174">
        <v>3</v>
      </c>
      <c r="S83" s="172" t="s">
        <v>284</v>
      </c>
      <c r="T83" s="172" t="s">
        <v>333</v>
      </c>
    </row>
    <row r="84" spans="1:20" s="172" customFormat="1" ht="43.2" x14ac:dyDescent="0.3">
      <c r="A84" s="171">
        <v>43635</v>
      </c>
      <c r="B84" s="180" t="s">
        <v>335</v>
      </c>
      <c r="C84" s="172" t="s">
        <v>292</v>
      </c>
      <c r="D84" s="172" t="s">
        <v>319</v>
      </c>
      <c r="E84" s="172" t="s">
        <v>348</v>
      </c>
      <c r="F84" s="172" t="s">
        <v>336</v>
      </c>
      <c r="G84" s="173">
        <v>60</v>
      </c>
      <c r="H84" s="172" t="s">
        <v>332</v>
      </c>
      <c r="I84" s="172" t="s">
        <v>325</v>
      </c>
      <c r="J84" s="175">
        <v>7.8</v>
      </c>
      <c r="K84" s="175"/>
      <c r="L84" s="172" t="s">
        <v>236</v>
      </c>
      <c r="M84" s="176">
        <v>57.5</v>
      </c>
      <c r="N84" s="177">
        <v>14.1</v>
      </c>
      <c r="O84" s="177">
        <v>10</v>
      </c>
      <c r="P84" s="178">
        <v>0</v>
      </c>
      <c r="Q84" s="204">
        <v>84</v>
      </c>
      <c r="R84" s="174">
        <v>0.1</v>
      </c>
      <c r="S84" s="172" t="s">
        <v>284</v>
      </c>
      <c r="T84" s="172" t="s">
        <v>358</v>
      </c>
    </row>
    <row r="85" spans="1:20" s="172" customFormat="1" ht="28.8" x14ac:dyDescent="0.3">
      <c r="A85" s="171">
        <v>43637</v>
      </c>
      <c r="B85" s="180" t="s">
        <v>342</v>
      </c>
      <c r="C85" s="172" t="s">
        <v>292</v>
      </c>
      <c r="D85" s="172" t="s">
        <v>319</v>
      </c>
      <c r="E85" s="172" t="s">
        <v>278</v>
      </c>
      <c r="F85" s="172" t="s">
        <v>279</v>
      </c>
      <c r="G85" s="173">
        <v>31</v>
      </c>
      <c r="H85" s="172" t="s">
        <v>309</v>
      </c>
      <c r="I85" s="172" t="s">
        <v>271</v>
      </c>
      <c r="J85" s="175">
        <v>3.1</v>
      </c>
      <c r="K85" s="175"/>
      <c r="L85" s="172" t="s">
        <v>328</v>
      </c>
      <c r="M85" s="176">
        <v>2.4</v>
      </c>
      <c r="N85" s="177">
        <v>1.3</v>
      </c>
      <c r="O85" s="177">
        <v>0</v>
      </c>
      <c r="P85" s="178">
        <v>0</v>
      </c>
      <c r="Q85" s="204">
        <v>50</v>
      </c>
      <c r="R85" s="174">
        <v>1.5</v>
      </c>
      <c r="S85" s="172" t="s">
        <v>284</v>
      </c>
      <c r="T85" s="172" t="s">
        <v>340</v>
      </c>
    </row>
    <row r="86" spans="1:20" s="172" customFormat="1" x14ac:dyDescent="0.3">
      <c r="A86" s="171">
        <v>43637</v>
      </c>
      <c r="B86" s="180" t="s">
        <v>344</v>
      </c>
      <c r="C86" s="172" t="s">
        <v>311</v>
      </c>
      <c r="D86" s="172" t="s">
        <v>308</v>
      </c>
      <c r="E86" s="172" t="s">
        <v>349</v>
      </c>
      <c r="F86" s="172" t="s">
        <v>297</v>
      </c>
      <c r="G86" s="173">
        <v>52</v>
      </c>
      <c r="H86" s="172" t="s">
        <v>330</v>
      </c>
      <c r="I86" s="172" t="s">
        <v>325</v>
      </c>
      <c r="J86" s="175">
        <v>8.1999999999999993</v>
      </c>
      <c r="K86" s="175"/>
      <c r="L86" s="172" t="s">
        <v>227</v>
      </c>
      <c r="M86" s="176">
        <v>69.599999999999994</v>
      </c>
      <c r="N86" s="177">
        <v>22.8</v>
      </c>
      <c r="O86" s="177">
        <v>0</v>
      </c>
      <c r="P86" s="178">
        <v>0</v>
      </c>
      <c r="Q86" s="204">
        <v>53</v>
      </c>
      <c r="R86" s="174">
        <v>1</v>
      </c>
      <c r="S86" s="172" t="s">
        <v>284</v>
      </c>
      <c r="T86" s="172" t="s">
        <v>343</v>
      </c>
    </row>
    <row r="87" spans="1:20" s="172" customFormat="1" ht="28.8" x14ac:dyDescent="0.3">
      <c r="A87" s="171">
        <v>43638</v>
      </c>
      <c r="B87" s="180" t="s">
        <v>346</v>
      </c>
      <c r="C87" s="172" t="s">
        <v>292</v>
      </c>
      <c r="D87" s="172" t="s">
        <v>319</v>
      </c>
      <c r="E87" s="172" t="s">
        <v>339</v>
      </c>
      <c r="F87" s="172" t="s">
        <v>279</v>
      </c>
      <c r="G87" s="173">
        <v>30</v>
      </c>
      <c r="H87" s="172" t="s">
        <v>347</v>
      </c>
      <c r="I87" s="172" t="s">
        <v>226</v>
      </c>
      <c r="J87" s="175">
        <v>7.2</v>
      </c>
      <c r="K87" s="175"/>
      <c r="L87" s="172" t="s">
        <v>254</v>
      </c>
      <c r="M87" s="176">
        <v>0.4</v>
      </c>
      <c r="N87" s="177">
        <v>0.1</v>
      </c>
      <c r="O87" s="177">
        <v>0</v>
      </c>
      <c r="P87" s="178">
        <v>0</v>
      </c>
      <c r="Q87" s="204">
        <v>8</v>
      </c>
      <c r="R87" s="174">
        <v>8.8000000000000007</v>
      </c>
      <c r="S87" s="172" t="s">
        <v>284</v>
      </c>
    </row>
    <row r="88" spans="1:20" s="172" customFormat="1" ht="43.2" x14ac:dyDescent="0.3">
      <c r="A88" s="171">
        <v>43643</v>
      </c>
      <c r="B88" s="180" t="s">
        <v>354</v>
      </c>
      <c r="C88" s="172" t="s">
        <v>311</v>
      </c>
      <c r="D88" s="172" t="s">
        <v>308</v>
      </c>
      <c r="E88" s="172" t="s">
        <v>339</v>
      </c>
      <c r="F88" s="172" t="s">
        <v>279</v>
      </c>
      <c r="G88" s="173">
        <v>49</v>
      </c>
      <c r="H88" s="172" t="s">
        <v>330</v>
      </c>
      <c r="I88" s="172" t="s">
        <v>325</v>
      </c>
      <c r="J88" s="175">
        <v>6.5</v>
      </c>
      <c r="K88" s="175"/>
      <c r="L88" s="172" t="s">
        <v>234</v>
      </c>
      <c r="M88" s="176">
        <v>33.6</v>
      </c>
      <c r="N88" s="177">
        <v>4.0999999999999996</v>
      </c>
      <c r="O88" s="177">
        <v>0</v>
      </c>
      <c r="P88" s="178">
        <v>0</v>
      </c>
      <c r="Q88" s="204">
        <v>357</v>
      </c>
      <c r="R88" s="174">
        <v>1.4</v>
      </c>
      <c r="S88" s="172" t="s">
        <v>284</v>
      </c>
      <c r="T88" s="172" t="s">
        <v>353</v>
      </c>
    </row>
    <row r="89" spans="1:20" s="172" customFormat="1" x14ac:dyDescent="0.3">
      <c r="A89" s="171"/>
      <c r="B89" s="180"/>
      <c r="G89" s="173"/>
      <c r="J89" s="175"/>
      <c r="K89" s="175"/>
      <c r="M89" s="176"/>
      <c r="N89" s="177"/>
      <c r="O89" s="177"/>
      <c r="P89" s="178"/>
      <c r="Q89" s="204"/>
      <c r="R89" s="174"/>
    </row>
    <row r="90" spans="1:20" s="172" customFormat="1" x14ac:dyDescent="0.3">
      <c r="A90" s="356"/>
      <c r="C90" s="69" t="s">
        <v>140</v>
      </c>
      <c r="D90" s="69"/>
      <c r="E90" s="157"/>
      <c r="F90" s="157"/>
      <c r="G90" s="157">
        <f>COUNTIF(S80:S89,"*áno*")</f>
        <v>9</v>
      </c>
      <c r="J90" s="175"/>
      <c r="K90" s="175"/>
      <c r="M90" s="176"/>
      <c r="N90" s="177"/>
      <c r="O90" s="177"/>
      <c r="P90" s="178"/>
      <c r="Q90" s="204"/>
      <c r="R90" s="174"/>
    </row>
    <row r="91" spans="1:20" s="172" customFormat="1" x14ac:dyDescent="0.3">
      <c r="A91" s="356"/>
      <c r="C91" s="69" t="s">
        <v>141</v>
      </c>
      <c r="D91" s="69"/>
      <c r="E91" s="157"/>
      <c r="F91" s="157"/>
      <c r="G91" s="157">
        <f>COUNTIF(E80:E89,"*w*")</f>
        <v>7</v>
      </c>
      <c r="J91" s="175"/>
      <c r="K91" s="175"/>
      <c r="M91" s="176"/>
      <c r="N91" s="177"/>
      <c r="O91" s="177"/>
      <c r="P91" s="178"/>
      <c r="Q91" s="204"/>
      <c r="R91" s="174"/>
    </row>
    <row r="92" spans="1:20" s="172" customFormat="1" x14ac:dyDescent="0.3">
      <c r="A92" s="356"/>
      <c r="C92" s="69" t="s">
        <v>142</v>
      </c>
      <c r="D92" s="69"/>
      <c r="E92" s="157"/>
      <c r="F92" s="157"/>
      <c r="G92" s="157">
        <f>COUNTIF(E80:E89,"*P*")</f>
        <v>6</v>
      </c>
      <c r="J92" s="175"/>
      <c r="K92" s="175"/>
      <c r="M92" s="176"/>
      <c r="N92" s="177"/>
      <c r="O92" s="177"/>
      <c r="P92" s="178"/>
      <c r="Q92" s="204"/>
      <c r="R92" s="174"/>
    </row>
    <row r="93" spans="1:20" s="172" customFormat="1" x14ac:dyDescent="0.3">
      <c r="A93" s="171"/>
      <c r="C93" s="69" t="s">
        <v>143</v>
      </c>
      <c r="D93" s="69"/>
      <c r="E93" s="157"/>
      <c r="F93" s="157"/>
      <c r="G93" s="157">
        <f>COUNTIF(E80:E89,"*L*")</f>
        <v>1</v>
      </c>
      <c r="J93" s="175"/>
      <c r="K93" s="175"/>
      <c r="M93" s="176"/>
      <c r="N93" s="177"/>
      <c r="O93" s="177"/>
      <c r="P93" s="178"/>
      <c r="Q93" s="204"/>
      <c r="R93" s="174"/>
    </row>
    <row r="94" spans="1:20" s="172" customFormat="1" x14ac:dyDescent="0.3">
      <c r="A94" s="171"/>
      <c r="C94" s="69" t="s">
        <v>144</v>
      </c>
      <c r="D94" s="69"/>
      <c r="E94" s="157"/>
      <c r="F94" s="157"/>
      <c r="G94" s="157">
        <f>COUNTIF(E80:E89,"*V*")</f>
        <v>2</v>
      </c>
      <c r="J94" s="175"/>
      <c r="K94" s="175"/>
      <c r="M94" s="176"/>
      <c r="N94" s="177"/>
      <c r="O94" s="177"/>
      <c r="P94" s="178"/>
      <c r="Q94" s="204"/>
      <c r="R94" s="174"/>
    </row>
    <row r="95" spans="1:20" s="172" customFormat="1" x14ac:dyDescent="0.3">
      <c r="A95" s="171"/>
      <c r="C95" s="69"/>
      <c r="D95" s="69"/>
      <c r="E95" s="157"/>
      <c r="F95" s="157"/>
      <c r="G95" s="157"/>
      <c r="J95" s="175"/>
      <c r="K95" s="175"/>
      <c r="M95" s="176"/>
      <c r="N95" s="177"/>
      <c r="O95" s="177"/>
      <c r="P95" s="178"/>
      <c r="Q95" s="204"/>
      <c r="R95" s="174"/>
    </row>
    <row r="96" spans="1:20" s="172" customFormat="1" x14ac:dyDescent="0.3">
      <c r="A96" s="171"/>
      <c r="C96" s="69" t="s">
        <v>145</v>
      </c>
      <c r="D96" s="69"/>
      <c r="E96" s="157"/>
      <c r="F96" s="157"/>
      <c r="G96" s="157">
        <f>COUNTIF(E80:E89,"*D*")</f>
        <v>9</v>
      </c>
      <c r="J96" s="175"/>
      <c r="K96" s="175"/>
      <c r="M96" s="176"/>
      <c r="N96" s="177"/>
      <c r="O96" s="177"/>
      <c r="P96" s="178"/>
      <c r="Q96" s="204"/>
      <c r="R96" s="174"/>
    </row>
    <row r="97" spans="1:20" s="172" customFormat="1" x14ac:dyDescent="0.3">
      <c r="A97" s="171"/>
      <c r="C97" s="69" t="s">
        <v>146</v>
      </c>
      <c r="D97" s="69"/>
      <c r="E97" s="157"/>
      <c r="F97" s="157"/>
      <c r="G97" s="157">
        <f>COUNTIF(E80:E89,"*S*")</f>
        <v>0</v>
      </c>
      <c r="J97" s="175"/>
      <c r="K97" s="175"/>
      <c r="M97" s="176"/>
      <c r="N97" s="177"/>
      <c r="O97" s="177"/>
      <c r="P97" s="178"/>
      <c r="Q97" s="204"/>
      <c r="R97" s="174"/>
    </row>
    <row r="98" spans="1:20" s="172" customFormat="1" x14ac:dyDescent="0.3">
      <c r="A98" s="171"/>
      <c r="C98" s="69" t="s">
        <v>147</v>
      </c>
      <c r="D98" s="69"/>
      <c r="E98" s="157"/>
      <c r="F98" s="157"/>
      <c r="G98" s="157">
        <f>COUNTIF(E80:E89,"*K*")</f>
        <v>3</v>
      </c>
      <c r="J98" s="175"/>
      <c r="K98" s="175"/>
      <c r="M98" s="176"/>
      <c r="N98" s="177"/>
      <c r="O98" s="177"/>
      <c r="P98" s="178"/>
      <c r="Q98" s="204"/>
      <c r="R98" s="174"/>
    </row>
    <row r="99" spans="1:20" s="172" customFormat="1" ht="15" thickBot="1" x14ac:dyDescent="0.35">
      <c r="A99" s="171"/>
      <c r="C99" s="183" t="s">
        <v>148</v>
      </c>
      <c r="D99" s="183"/>
      <c r="G99" s="172">
        <f>COUNTIF(E80:E89,"*Z*")</f>
        <v>9</v>
      </c>
      <c r="J99" s="175"/>
      <c r="K99" s="175"/>
      <c r="M99" s="176"/>
      <c r="N99" s="177"/>
      <c r="O99" s="177"/>
      <c r="P99" s="178"/>
      <c r="Q99" s="204"/>
      <c r="R99" s="174"/>
    </row>
    <row r="100" spans="1:20" s="105" customFormat="1" ht="15" thickBot="1" x14ac:dyDescent="0.35">
      <c r="A100" s="188" t="s">
        <v>111</v>
      </c>
      <c r="G100" s="189"/>
      <c r="J100" s="191"/>
      <c r="K100" s="191"/>
      <c r="M100" s="192"/>
      <c r="N100" s="193"/>
      <c r="O100" s="193"/>
      <c r="P100" s="194"/>
      <c r="Q100" s="205"/>
      <c r="R100" s="190"/>
    </row>
    <row r="101" spans="1:20" s="172" customFormat="1" ht="28.8" x14ac:dyDescent="0.3">
      <c r="A101" s="171">
        <v>43651</v>
      </c>
      <c r="B101" s="180" t="s">
        <v>359</v>
      </c>
      <c r="C101" s="172" t="s">
        <v>311</v>
      </c>
      <c r="D101" s="172" t="s">
        <v>308</v>
      </c>
      <c r="E101" s="172" t="s">
        <v>278</v>
      </c>
      <c r="F101" s="172" t="s">
        <v>279</v>
      </c>
      <c r="G101" s="173">
        <v>40</v>
      </c>
      <c r="H101" s="172" t="s">
        <v>309</v>
      </c>
      <c r="I101" s="172" t="s">
        <v>325</v>
      </c>
      <c r="J101" s="175">
        <v>6.1</v>
      </c>
      <c r="K101" s="175"/>
      <c r="L101" s="172" t="s">
        <v>234</v>
      </c>
      <c r="M101" s="176">
        <v>4.8</v>
      </c>
      <c r="N101" s="177">
        <v>1.3</v>
      </c>
      <c r="O101" s="177">
        <v>0</v>
      </c>
      <c r="P101" s="178">
        <v>0</v>
      </c>
      <c r="Q101" s="204">
        <v>59</v>
      </c>
      <c r="R101" s="174">
        <v>2</v>
      </c>
      <c r="S101" s="172" t="s">
        <v>284</v>
      </c>
    </row>
    <row r="102" spans="1:20" s="172" customFormat="1" x14ac:dyDescent="0.3">
      <c r="A102" s="171">
        <v>43653</v>
      </c>
      <c r="B102" s="180" t="s">
        <v>360</v>
      </c>
      <c r="C102" s="172" t="s">
        <v>361</v>
      </c>
      <c r="D102" s="172" t="s">
        <v>362</v>
      </c>
      <c r="E102" s="172" t="s">
        <v>363</v>
      </c>
      <c r="F102" s="172" t="s">
        <v>282</v>
      </c>
      <c r="G102" s="173">
        <v>0</v>
      </c>
      <c r="H102" s="172" t="s">
        <v>294</v>
      </c>
      <c r="I102" s="172" t="s">
        <v>230</v>
      </c>
      <c r="J102" s="175">
        <v>3.1</v>
      </c>
      <c r="K102" s="175"/>
      <c r="L102" s="172" t="s">
        <v>254</v>
      </c>
      <c r="M102" s="176">
        <v>0</v>
      </c>
      <c r="N102" s="177">
        <v>0</v>
      </c>
      <c r="O102" s="177">
        <v>0</v>
      </c>
      <c r="P102" s="178">
        <v>0</v>
      </c>
      <c r="Q102" s="204">
        <v>4</v>
      </c>
      <c r="R102" s="174">
        <v>7.7</v>
      </c>
      <c r="S102" s="172" t="s">
        <v>284</v>
      </c>
    </row>
    <row r="103" spans="1:20" s="172" customFormat="1" x14ac:dyDescent="0.3">
      <c r="A103" s="171">
        <v>43653</v>
      </c>
      <c r="B103" s="180" t="s">
        <v>364</v>
      </c>
      <c r="C103" s="172" t="s">
        <v>311</v>
      </c>
      <c r="D103" s="172" t="s">
        <v>308</v>
      </c>
      <c r="E103" s="172" t="s">
        <v>349</v>
      </c>
      <c r="F103" s="172" t="s">
        <v>279</v>
      </c>
      <c r="G103" s="173">
        <v>55</v>
      </c>
      <c r="H103" s="172" t="s">
        <v>294</v>
      </c>
      <c r="I103" s="172" t="s">
        <v>325</v>
      </c>
      <c r="J103" s="175">
        <v>15.6</v>
      </c>
      <c r="K103" s="175"/>
      <c r="L103" s="172" t="s">
        <v>227</v>
      </c>
      <c r="M103" s="176">
        <v>76.7</v>
      </c>
      <c r="N103" s="177">
        <v>14</v>
      </c>
      <c r="O103" s="177">
        <v>0</v>
      </c>
      <c r="P103" s="178">
        <v>0</v>
      </c>
      <c r="Q103" s="204">
        <v>349</v>
      </c>
      <c r="R103" s="174">
        <v>0.4</v>
      </c>
      <c r="S103" s="172" t="s">
        <v>284</v>
      </c>
      <c r="T103" s="172" t="s">
        <v>367</v>
      </c>
    </row>
    <row r="104" spans="1:20" s="172" customFormat="1" ht="28.8" x14ac:dyDescent="0.3">
      <c r="A104" s="171">
        <v>43657</v>
      </c>
      <c r="B104" s="180" t="s">
        <v>365</v>
      </c>
      <c r="C104" s="172" t="s">
        <v>366</v>
      </c>
      <c r="D104" s="172" t="s">
        <v>308</v>
      </c>
      <c r="E104" s="172" t="s">
        <v>278</v>
      </c>
      <c r="F104" s="172" t="s">
        <v>279</v>
      </c>
      <c r="G104" s="173">
        <v>49</v>
      </c>
      <c r="H104" s="172" t="s">
        <v>330</v>
      </c>
      <c r="I104" s="172" t="s">
        <v>325</v>
      </c>
      <c r="J104" s="175">
        <v>6.4</v>
      </c>
      <c r="K104" s="175"/>
      <c r="L104" s="172" t="s">
        <v>229</v>
      </c>
      <c r="M104" s="176">
        <v>22.8</v>
      </c>
      <c r="N104" s="177">
        <v>3.9</v>
      </c>
      <c r="O104" s="177">
        <v>0</v>
      </c>
      <c r="P104" s="178">
        <v>0</v>
      </c>
      <c r="Q104" s="204">
        <v>16</v>
      </c>
      <c r="R104" s="174">
        <v>1.4</v>
      </c>
      <c r="S104" s="172" t="s">
        <v>284</v>
      </c>
    </row>
    <row r="105" spans="1:20" s="172" customFormat="1" ht="28.8" x14ac:dyDescent="0.3">
      <c r="A105" s="171">
        <v>43659</v>
      </c>
      <c r="B105" s="180" t="s">
        <v>371</v>
      </c>
      <c r="C105" s="172" t="s">
        <v>370</v>
      </c>
      <c r="D105" s="172" t="s">
        <v>319</v>
      </c>
      <c r="E105" s="172" t="s">
        <v>363</v>
      </c>
      <c r="F105" s="172" t="s">
        <v>279</v>
      </c>
      <c r="G105" s="173">
        <v>0</v>
      </c>
      <c r="H105" s="172" t="s">
        <v>369</v>
      </c>
      <c r="I105" s="172" t="s">
        <v>232</v>
      </c>
      <c r="J105" s="175">
        <v>9.1999999999999993</v>
      </c>
      <c r="K105" s="175"/>
      <c r="L105" s="172" t="s">
        <v>230</v>
      </c>
      <c r="M105" s="176">
        <v>0</v>
      </c>
      <c r="N105" s="177">
        <v>0</v>
      </c>
      <c r="O105" s="177">
        <v>0</v>
      </c>
      <c r="P105" s="178">
        <v>0</v>
      </c>
      <c r="Q105" s="204">
        <v>2</v>
      </c>
      <c r="R105" s="174">
        <v>13.8</v>
      </c>
      <c r="S105" s="172" t="s">
        <v>284</v>
      </c>
    </row>
    <row r="106" spans="1:20" s="172" customFormat="1" ht="28.8" x14ac:dyDescent="0.3">
      <c r="A106" s="171">
        <v>43660</v>
      </c>
      <c r="B106" s="180" t="s">
        <v>373</v>
      </c>
      <c r="C106" s="172" t="s">
        <v>370</v>
      </c>
      <c r="D106" s="172" t="s">
        <v>308</v>
      </c>
      <c r="E106" s="172" t="s">
        <v>339</v>
      </c>
      <c r="F106" s="172" t="s">
        <v>279</v>
      </c>
      <c r="G106" s="173">
        <v>35</v>
      </c>
      <c r="H106" s="172" t="s">
        <v>330</v>
      </c>
      <c r="I106" s="172" t="s">
        <v>254</v>
      </c>
      <c r="J106" s="175">
        <v>9.1999999999999993</v>
      </c>
      <c r="K106" s="175"/>
      <c r="L106" s="172" t="s">
        <v>227</v>
      </c>
      <c r="M106" s="176">
        <v>0.4</v>
      </c>
      <c r="N106" s="177">
        <v>0.1</v>
      </c>
      <c r="O106" s="177">
        <v>0</v>
      </c>
      <c r="P106" s="178">
        <v>0</v>
      </c>
      <c r="Q106" s="204">
        <v>3</v>
      </c>
      <c r="R106" s="174">
        <v>13.3</v>
      </c>
      <c r="S106" s="172" t="s">
        <v>284</v>
      </c>
    </row>
    <row r="107" spans="1:20" s="172" customFormat="1" ht="28.8" x14ac:dyDescent="0.3">
      <c r="A107" s="171">
        <v>43665</v>
      </c>
      <c r="B107" s="180" t="s">
        <v>375</v>
      </c>
      <c r="C107" s="172" t="s">
        <v>370</v>
      </c>
      <c r="D107" s="172" t="s">
        <v>319</v>
      </c>
      <c r="E107" s="172" t="s">
        <v>278</v>
      </c>
      <c r="F107" s="172" t="s">
        <v>279</v>
      </c>
      <c r="G107" s="173">
        <v>57</v>
      </c>
      <c r="H107" s="172" t="s">
        <v>330</v>
      </c>
      <c r="I107" s="172" t="s">
        <v>325</v>
      </c>
      <c r="J107" s="175">
        <v>8.8000000000000007</v>
      </c>
      <c r="K107" s="175"/>
      <c r="L107" s="172" t="s">
        <v>231</v>
      </c>
      <c r="M107" s="176">
        <v>85.2</v>
      </c>
      <c r="N107" s="177">
        <v>23.5</v>
      </c>
      <c r="O107" s="177">
        <v>0</v>
      </c>
      <c r="P107" s="178">
        <v>0</v>
      </c>
      <c r="Q107" s="204">
        <v>158</v>
      </c>
      <c r="R107" s="174">
        <v>0.5</v>
      </c>
      <c r="S107" s="172" t="s">
        <v>284</v>
      </c>
    </row>
    <row r="108" spans="1:20" s="172" customFormat="1" ht="57.6" x14ac:dyDescent="0.3">
      <c r="A108" s="171">
        <v>43666</v>
      </c>
      <c r="B108" s="180" t="s">
        <v>411</v>
      </c>
      <c r="C108" s="172" t="s">
        <v>377</v>
      </c>
      <c r="D108" s="172" t="s">
        <v>319</v>
      </c>
      <c r="E108" s="172" t="s">
        <v>278</v>
      </c>
      <c r="F108" s="172" t="s">
        <v>320</v>
      </c>
      <c r="G108" s="173">
        <v>65</v>
      </c>
      <c r="H108" s="172" t="s">
        <v>280</v>
      </c>
      <c r="I108" s="172" t="s">
        <v>325</v>
      </c>
      <c r="J108" s="175">
        <v>8.8000000000000007</v>
      </c>
      <c r="K108" s="175"/>
      <c r="L108" s="172" t="s">
        <v>230</v>
      </c>
      <c r="M108" s="176">
        <v>37.200000000000003</v>
      </c>
      <c r="N108" s="177">
        <v>5.5</v>
      </c>
      <c r="O108" s="177">
        <v>0</v>
      </c>
      <c r="P108" s="178">
        <v>0</v>
      </c>
      <c r="Q108" s="204">
        <v>30</v>
      </c>
      <c r="R108" s="174">
        <v>0.5</v>
      </c>
      <c r="S108" s="172" t="s">
        <v>284</v>
      </c>
      <c r="T108" s="172" t="s">
        <v>378</v>
      </c>
    </row>
    <row r="109" spans="1:20" s="172" customFormat="1" x14ac:dyDescent="0.3">
      <c r="A109" s="171">
        <v>43666</v>
      </c>
      <c r="B109" s="180" t="s">
        <v>379</v>
      </c>
      <c r="C109" s="172" t="s">
        <v>380</v>
      </c>
      <c r="D109" s="172" t="s">
        <v>324</v>
      </c>
      <c r="E109" s="172" t="s">
        <v>285</v>
      </c>
      <c r="F109" s="172" t="s">
        <v>279</v>
      </c>
      <c r="G109" s="173">
        <v>30</v>
      </c>
      <c r="H109" s="172" t="s">
        <v>309</v>
      </c>
      <c r="I109" s="172" t="s">
        <v>254</v>
      </c>
      <c r="J109" s="175">
        <v>3.8</v>
      </c>
      <c r="K109" s="175"/>
      <c r="L109" s="172" t="s">
        <v>254</v>
      </c>
      <c r="M109" s="176">
        <v>3.6</v>
      </c>
      <c r="N109" s="177">
        <v>1.6</v>
      </c>
      <c r="O109" s="177">
        <v>0</v>
      </c>
      <c r="P109" s="178">
        <v>0</v>
      </c>
      <c r="Q109" s="204">
        <v>15</v>
      </c>
      <c r="R109" s="174">
        <v>6</v>
      </c>
      <c r="S109" s="172" t="s">
        <v>284</v>
      </c>
    </row>
    <row r="110" spans="1:20" s="172" customFormat="1" ht="28.8" x14ac:dyDescent="0.3">
      <c r="A110" s="171">
        <v>43667</v>
      </c>
      <c r="B110" s="180" t="s">
        <v>381</v>
      </c>
      <c r="C110" s="172" t="s">
        <v>382</v>
      </c>
      <c r="D110" s="172" t="s">
        <v>308</v>
      </c>
      <c r="E110" s="172" t="s">
        <v>278</v>
      </c>
      <c r="F110" s="172" t="s">
        <v>282</v>
      </c>
      <c r="G110" s="173">
        <v>52</v>
      </c>
      <c r="H110" s="172" t="s">
        <v>309</v>
      </c>
      <c r="I110" s="172" t="s">
        <v>230</v>
      </c>
      <c r="J110" s="175">
        <v>5.0999999999999996</v>
      </c>
      <c r="K110" s="175"/>
      <c r="L110" s="172" t="s">
        <v>234</v>
      </c>
      <c r="M110" s="176">
        <v>14.4</v>
      </c>
      <c r="N110" s="177">
        <v>7</v>
      </c>
      <c r="O110" s="177">
        <v>0</v>
      </c>
      <c r="P110" s="178">
        <v>0</v>
      </c>
      <c r="Q110" s="204">
        <v>272</v>
      </c>
      <c r="R110" s="174">
        <v>2.5</v>
      </c>
      <c r="S110" s="172" t="s">
        <v>284</v>
      </c>
      <c r="T110" s="172" t="s">
        <v>299</v>
      </c>
    </row>
    <row r="111" spans="1:20" s="172" customFormat="1" ht="43.2" x14ac:dyDescent="0.3">
      <c r="A111" s="171">
        <v>43672</v>
      </c>
      <c r="B111" s="180" t="s">
        <v>386</v>
      </c>
      <c r="C111" s="172" t="s">
        <v>366</v>
      </c>
      <c r="D111" s="172" t="s">
        <v>319</v>
      </c>
      <c r="E111" s="172" t="s">
        <v>348</v>
      </c>
      <c r="F111" s="172" t="s">
        <v>320</v>
      </c>
      <c r="G111" s="173">
        <v>48</v>
      </c>
      <c r="H111" s="172" t="s">
        <v>384</v>
      </c>
      <c r="I111" s="172" t="s">
        <v>232</v>
      </c>
      <c r="J111" s="175">
        <v>8.8000000000000007</v>
      </c>
      <c r="K111" s="175"/>
      <c r="L111" s="172" t="s">
        <v>254</v>
      </c>
      <c r="M111" s="176">
        <v>26.4</v>
      </c>
      <c r="N111" s="177">
        <v>11.7</v>
      </c>
      <c r="O111" s="177">
        <v>10</v>
      </c>
      <c r="P111" s="178">
        <v>0</v>
      </c>
      <c r="Q111" s="204">
        <v>769</v>
      </c>
      <c r="R111" s="174">
        <v>0.3</v>
      </c>
      <c r="S111" s="172" t="s">
        <v>284</v>
      </c>
      <c r="T111" s="172" t="s">
        <v>385</v>
      </c>
    </row>
    <row r="112" spans="1:20" s="172" customFormat="1" ht="43.2" x14ac:dyDescent="0.3">
      <c r="A112" s="171">
        <v>43674</v>
      </c>
      <c r="B112" s="180" t="s">
        <v>389</v>
      </c>
      <c r="C112" s="172" t="s">
        <v>380</v>
      </c>
      <c r="D112" s="172" t="s">
        <v>324</v>
      </c>
      <c r="E112" s="172" t="s">
        <v>278</v>
      </c>
      <c r="F112" s="172" t="s">
        <v>282</v>
      </c>
      <c r="G112" s="173">
        <v>54</v>
      </c>
      <c r="H112" s="172" t="s">
        <v>388</v>
      </c>
      <c r="I112" s="172" t="s">
        <v>325</v>
      </c>
      <c r="J112" s="175">
        <v>9.9</v>
      </c>
      <c r="K112" s="175"/>
      <c r="L112" s="172" t="s">
        <v>232</v>
      </c>
      <c r="M112" s="176">
        <v>14.4</v>
      </c>
      <c r="N112" s="177">
        <v>9</v>
      </c>
      <c r="O112" s="177">
        <v>0</v>
      </c>
      <c r="P112" s="178">
        <v>0</v>
      </c>
      <c r="Q112" s="204">
        <v>444</v>
      </c>
      <c r="R112" s="174">
        <v>0.3</v>
      </c>
      <c r="S112" s="172" t="s">
        <v>284</v>
      </c>
      <c r="T112" s="172" t="s">
        <v>387</v>
      </c>
    </row>
    <row r="113" spans="1:20" s="172" customFormat="1" x14ac:dyDescent="0.3">
      <c r="A113" s="171">
        <v>43675</v>
      </c>
      <c r="B113" s="180" t="s">
        <v>392</v>
      </c>
      <c r="C113" s="172" t="s">
        <v>380</v>
      </c>
      <c r="D113" s="172" t="s">
        <v>324</v>
      </c>
      <c r="E113" s="172" t="s">
        <v>391</v>
      </c>
      <c r="F113" s="172" t="s">
        <v>279</v>
      </c>
      <c r="G113" s="173">
        <v>33</v>
      </c>
      <c r="H113" s="172" t="s">
        <v>393</v>
      </c>
      <c r="I113" s="172" t="s">
        <v>230</v>
      </c>
      <c r="J113" s="175">
        <v>10.9</v>
      </c>
      <c r="K113" s="175"/>
      <c r="L113" s="172" t="s">
        <v>230</v>
      </c>
      <c r="M113" s="176">
        <v>0</v>
      </c>
      <c r="N113" s="177">
        <v>0</v>
      </c>
      <c r="O113" s="177">
        <v>0</v>
      </c>
      <c r="P113" s="178">
        <v>0</v>
      </c>
      <c r="Q113" s="204">
        <v>261</v>
      </c>
      <c r="R113" s="174">
        <v>0.2</v>
      </c>
      <c r="S113" s="172" t="s">
        <v>284</v>
      </c>
      <c r="T113" s="172" t="s">
        <v>394</v>
      </c>
    </row>
    <row r="114" spans="1:20" s="172" customFormat="1" ht="28.8" x14ac:dyDescent="0.3">
      <c r="A114" s="171">
        <v>43676</v>
      </c>
      <c r="B114" s="180" t="s">
        <v>397</v>
      </c>
      <c r="C114" s="172" t="s">
        <v>292</v>
      </c>
      <c r="D114" s="172" t="s">
        <v>319</v>
      </c>
      <c r="E114" s="172" t="s">
        <v>395</v>
      </c>
      <c r="F114" s="172" t="s">
        <v>279</v>
      </c>
      <c r="G114" s="173">
        <v>0</v>
      </c>
      <c r="H114" s="172" t="s">
        <v>396</v>
      </c>
      <c r="I114" s="172" t="s">
        <v>232</v>
      </c>
      <c r="J114" s="175">
        <v>5.0999999999999996</v>
      </c>
      <c r="K114" s="175"/>
      <c r="L114" s="172" t="s">
        <v>230</v>
      </c>
      <c r="M114" s="176">
        <v>0</v>
      </c>
      <c r="N114" s="177">
        <v>0</v>
      </c>
      <c r="O114" s="177">
        <v>0</v>
      </c>
      <c r="P114" s="178">
        <v>0</v>
      </c>
      <c r="Q114" s="204">
        <v>15</v>
      </c>
      <c r="R114" s="174">
        <v>8.4</v>
      </c>
      <c r="S114" s="172" t="s">
        <v>284</v>
      </c>
    </row>
    <row r="115" spans="1:20" s="172" customFormat="1" ht="28.8" x14ac:dyDescent="0.3">
      <c r="A115" s="171">
        <v>43676</v>
      </c>
      <c r="B115" s="180" t="s">
        <v>398</v>
      </c>
      <c r="C115" s="172" t="s">
        <v>292</v>
      </c>
      <c r="D115" s="172" t="s">
        <v>319</v>
      </c>
      <c r="E115" s="172" t="s">
        <v>399</v>
      </c>
      <c r="F115" s="172" t="s">
        <v>279</v>
      </c>
      <c r="G115" s="173">
        <v>17</v>
      </c>
      <c r="H115" s="172" t="s">
        <v>396</v>
      </c>
      <c r="I115" s="172" t="s">
        <v>254</v>
      </c>
      <c r="J115" s="175">
        <v>3.4</v>
      </c>
      <c r="K115" s="175"/>
      <c r="L115" s="172" t="s">
        <v>232</v>
      </c>
      <c r="M115" s="176">
        <v>0</v>
      </c>
      <c r="N115" s="177">
        <v>0</v>
      </c>
      <c r="O115" s="177">
        <v>0</v>
      </c>
      <c r="P115" s="178">
        <v>0</v>
      </c>
      <c r="Q115" s="204">
        <v>9</v>
      </c>
      <c r="R115" s="174">
        <v>9</v>
      </c>
      <c r="S115" s="172" t="s">
        <v>284</v>
      </c>
    </row>
    <row r="116" spans="1:20" s="172" customFormat="1" ht="28.8" x14ac:dyDescent="0.3">
      <c r="A116" s="171">
        <v>43677</v>
      </c>
      <c r="B116" s="180" t="s">
        <v>401</v>
      </c>
      <c r="C116" s="172" t="s">
        <v>292</v>
      </c>
      <c r="D116" s="172" t="s">
        <v>319</v>
      </c>
      <c r="E116" s="172" t="s">
        <v>402</v>
      </c>
      <c r="F116" s="172" t="s">
        <v>279</v>
      </c>
      <c r="G116" s="173">
        <v>0</v>
      </c>
      <c r="H116" s="172" t="s">
        <v>396</v>
      </c>
      <c r="I116" s="172" t="s">
        <v>232</v>
      </c>
      <c r="J116" s="175">
        <v>4.8</v>
      </c>
      <c r="K116" s="175"/>
      <c r="L116" s="172" t="s">
        <v>254</v>
      </c>
      <c r="M116" s="176">
        <v>0</v>
      </c>
      <c r="N116" s="177">
        <v>0</v>
      </c>
      <c r="O116" s="177">
        <v>0</v>
      </c>
      <c r="P116" s="178">
        <v>0</v>
      </c>
      <c r="Q116" s="204">
        <v>25</v>
      </c>
      <c r="R116" s="174">
        <v>12</v>
      </c>
      <c r="S116" s="172" t="s">
        <v>284</v>
      </c>
    </row>
    <row r="117" spans="1:20" s="172" customFormat="1" ht="28.8" x14ac:dyDescent="0.3">
      <c r="A117" s="171">
        <v>43677</v>
      </c>
      <c r="B117" s="180" t="s">
        <v>403</v>
      </c>
      <c r="C117" s="172" t="s">
        <v>292</v>
      </c>
      <c r="D117" s="172" t="s">
        <v>319</v>
      </c>
      <c r="E117" s="172" t="s">
        <v>349</v>
      </c>
      <c r="F117" s="172" t="s">
        <v>279</v>
      </c>
      <c r="G117" s="173">
        <v>45</v>
      </c>
      <c r="H117" s="172" t="s">
        <v>396</v>
      </c>
      <c r="I117" s="172" t="s">
        <v>229</v>
      </c>
      <c r="J117" s="175">
        <v>5.4</v>
      </c>
      <c r="K117" s="175"/>
      <c r="L117" s="172" t="s">
        <v>231</v>
      </c>
      <c r="M117" s="176">
        <v>39.6</v>
      </c>
      <c r="N117" s="177">
        <v>10.1</v>
      </c>
      <c r="O117" s="177">
        <v>0</v>
      </c>
      <c r="P117" s="178">
        <v>0</v>
      </c>
      <c r="Q117" s="204">
        <v>164</v>
      </c>
      <c r="R117" s="174">
        <v>2.2999999999999998</v>
      </c>
      <c r="S117" s="172" t="s">
        <v>284</v>
      </c>
    </row>
    <row r="118" spans="1:20" s="172" customFormat="1" ht="28.8" x14ac:dyDescent="0.3">
      <c r="A118" s="171">
        <v>43677</v>
      </c>
      <c r="B118" s="180" t="s">
        <v>404</v>
      </c>
      <c r="C118" s="172" t="s">
        <v>292</v>
      </c>
      <c r="D118" s="172" t="s">
        <v>319</v>
      </c>
      <c r="E118" s="172" t="s">
        <v>285</v>
      </c>
      <c r="F118" s="172" t="s">
        <v>297</v>
      </c>
      <c r="G118" s="173">
        <v>38</v>
      </c>
      <c r="H118" s="172" t="s">
        <v>384</v>
      </c>
      <c r="I118" s="172" t="s">
        <v>232</v>
      </c>
      <c r="J118" s="175">
        <v>4.4000000000000004</v>
      </c>
      <c r="K118" s="175"/>
      <c r="L118" s="172" t="s">
        <v>229</v>
      </c>
      <c r="M118" s="176">
        <v>9.6</v>
      </c>
      <c r="N118" s="177">
        <v>2.2999999999999998</v>
      </c>
      <c r="O118" s="177">
        <v>0</v>
      </c>
      <c r="P118" s="178">
        <v>0</v>
      </c>
      <c r="Q118" s="204">
        <v>15</v>
      </c>
      <c r="R118" s="174">
        <v>8</v>
      </c>
      <c r="S118" s="172" t="s">
        <v>284</v>
      </c>
      <c r="T118" s="172" t="s">
        <v>299</v>
      </c>
    </row>
    <row r="119" spans="1:20" s="172" customFormat="1" x14ac:dyDescent="0.3">
      <c r="A119" s="171"/>
      <c r="B119" s="180"/>
      <c r="G119" s="173"/>
      <c r="J119" s="175"/>
      <c r="K119" s="175"/>
      <c r="M119" s="176"/>
      <c r="N119" s="177"/>
      <c r="O119" s="177"/>
      <c r="P119" s="178"/>
      <c r="Q119" s="204"/>
      <c r="R119" s="174"/>
    </row>
    <row r="120" spans="1:20" s="172" customFormat="1" x14ac:dyDescent="0.3">
      <c r="A120" s="171"/>
      <c r="C120" s="69" t="s">
        <v>140</v>
      </c>
      <c r="D120" s="69"/>
      <c r="E120" s="157"/>
      <c r="F120" s="157"/>
      <c r="G120" s="157">
        <f>COUNTIF(S101:S118,"*áno*")</f>
        <v>18</v>
      </c>
      <c r="J120" s="175"/>
      <c r="K120" s="175"/>
      <c r="M120" s="176"/>
      <c r="N120" s="177"/>
      <c r="O120" s="177"/>
      <c r="P120" s="178"/>
      <c r="Q120" s="204"/>
      <c r="R120" s="174"/>
    </row>
    <row r="121" spans="1:20" s="172" customFormat="1" x14ac:dyDescent="0.3">
      <c r="A121" s="171"/>
      <c r="C121" s="69" t="s">
        <v>141</v>
      </c>
      <c r="D121" s="69"/>
      <c r="E121" s="157"/>
      <c r="F121" s="157"/>
      <c r="G121" s="157">
        <f>COUNTIF(E101:E118,"*w*")</f>
        <v>13</v>
      </c>
      <c r="J121" s="175"/>
      <c r="K121" s="175"/>
      <c r="M121" s="176"/>
      <c r="N121" s="177"/>
      <c r="O121" s="177"/>
      <c r="P121" s="178"/>
      <c r="Q121" s="204"/>
      <c r="R121" s="174"/>
    </row>
    <row r="122" spans="1:20" s="172" customFormat="1" x14ac:dyDescent="0.3">
      <c r="A122" s="171"/>
      <c r="C122" s="69" t="s">
        <v>142</v>
      </c>
      <c r="D122" s="69"/>
      <c r="E122" s="157"/>
      <c r="F122" s="157"/>
      <c r="G122" s="157">
        <f>COUNTIF(E101:E118,"*P*")</f>
        <v>10</v>
      </c>
      <c r="J122" s="175"/>
      <c r="K122" s="175"/>
      <c r="M122" s="176"/>
      <c r="N122" s="177"/>
      <c r="O122" s="177"/>
      <c r="P122" s="178"/>
      <c r="Q122" s="204"/>
      <c r="R122" s="174"/>
    </row>
    <row r="123" spans="1:20" s="172" customFormat="1" x14ac:dyDescent="0.3">
      <c r="A123" s="171"/>
      <c r="C123" s="69" t="s">
        <v>143</v>
      </c>
      <c r="D123" s="69"/>
      <c r="E123" s="157"/>
      <c r="F123" s="157"/>
      <c r="G123" s="157">
        <f>COUNTIF(E101:E118,"*L*")</f>
        <v>0</v>
      </c>
      <c r="J123" s="175"/>
      <c r="K123" s="175"/>
      <c r="M123" s="176"/>
      <c r="N123" s="177"/>
      <c r="O123" s="177"/>
      <c r="P123" s="178"/>
      <c r="Q123" s="204"/>
      <c r="R123" s="174"/>
    </row>
    <row r="124" spans="1:20" s="172" customFormat="1" x14ac:dyDescent="0.3">
      <c r="A124" s="171"/>
      <c r="C124" s="69" t="s">
        <v>144</v>
      </c>
      <c r="D124" s="69"/>
      <c r="E124" s="157"/>
      <c r="F124" s="157"/>
      <c r="G124" s="157">
        <f>COUNTIF(E101:E118,"*V*")</f>
        <v>8</v>
      </c>
      <c r="J124" s="175"/>
      <c r="K124" s="175"/>
      <c r="M124" s="176"/>
      <c r="N124" s="177"/>
      <c r="O124" s="177"/>
      <c r="P124" s="178"/>
      <c r="Q124" s="204"/>
      <c r="R124" s="174"/>
    </row>
    <row r="125" spans="1:20" s="172" customFormat="1" x14ac:dyDescent="0.3">
      <c r="A125" s="171"/>
      <c r="C125" s="69"/>
      <c r="D125" s="69"/>
      <c r="E125" s="157"/>
      <c r="F125" s="157"/>
      <c r="G125" s="157"/>
      <c r="J125" s="175"/>
      <c r="K125" s="175"/>
      <c r="M125" s="176"/>
      <c r="N125" s="177"/>
      <c r="O125" s="177"/>
      <c r="P125" s="178"/>
      <c r="Q125" s="204"/>
      <c r="R125" s="174"/>
    </row>
    <row r="126" spans="1:20" s="172" customFormat="1" x14ac:dyDescent="0.3">
      <c r="A126" s="171"/>
      <c r="C126" s="69" t="s">
        <v>145</v>
      </c>
      <c r="D126" s="69"/>
      <c r="E126" s="157"/>
      <c r="F126" s="157"/>
      <c r="G126" s="157">
        <f>COUNTIF(E101:E118,"*D*")</f>
        <v>15</v>
      </c>
      <c r="J126" s="175"/>
      <c r="K126" s="175"/>
      <c r="M126" s="176"/>
      <c r="N126" s="177"/>
      <c r="O126" s="177"/>
      <c r="P126" s="178"/>
      <c r="Q126" s="204"/>
      <c r="R126" s="174"/>
    </row>
    <row r="127" spans="1:20" s="172" customFormat="1" x14ac:dyDescent="0.3">
      <c r="A127" s="171"/>
      <c r="C127" s="69" t="s">
        <v>146</v>
      </c>
      <c r="D127" s="69"/>
      <c r="E127" s="157"/>
      <c r="F127" s="157"/>
      <c r="G127" s="157">
        <f>COUNTIF(E101:E118,"*S*")</f>
        <v>0</v>
      </c>
      <c r="J127" s="175"/>
      <c r="K127" s="175"/>
      <c r="M127" s="176"/>
      <c r="N127" s="177"/>
      <c r="O127" s="177"/>
      <c r="P127" s="178"/>
      <c r="Q127" s="204"/>
      <c r="R127" s="174"/>
    </row>
    <row r="128" spans="1:20" s="172" customFormat="1" x14ac:dyDescent="0.3">
      <c r="A128" s="171"/>
      <c r="C128" s="69" t="s">
        <v>147</v>
      </c>
      <c r="D128" s="69"/>
      <c r="E128" s="157"/>
      <c r="F128" s="157"/>
      <c r="G128" s="157">
        <f>COUNTIF(E101:E118,"*K*")</f>
        <v>1</v>
      </c>
      <c r="J128" s="175"/>
      <c r="K128" s="175"/>
      <c r="M128" s="176"/>
      <c r="N128" s="177"/>
      <c r="O128" s="177"/>
      <c r="P128" s="178"/>
      <c r="Q128" s="204"/>
      <c r="R128" s="174"/>
    </row>
    <row r="129" spans="1:20" s="172" customFormat="1" x14ac:dyDescent="0.3">
      <c r="A129" s="171"/>
      <c r="C129" s="69" t="s">
        <v>148</v>
      </c>
      <c r="D129" s="69"/>
      <c r="E129" s="157"/>
      <c r="F129" s="157"/>
      <c r="G129" s="157">
        <f>COUNTIF(E101:E118,"*Z*")</f>
        <v>12</v>
      </c>
      <c r="J129" s="175"/>
      <c r="K129" s="175"/>
      <c r="M129" s="176"/>
      <c r="N129" s="177"/>
      <c r="O129" s="177"/>
      <c r="P129" s="178"/>
      <c r="Q129" s="204"/>
      <c r="R129" s="174"/>
    </row>
    <row r="130" spans="1:20" s="172" customFormat="1" x14ac:dyDescent="0.3">
      <c r="A130" s="179" t="s">
        <v>113</v>
      </c>
      <c r="G130" s="173"/>
      <c r="J130" s="175"/>
      <c r="K130" s="175"/>
      <c r="M130" s="176"/>
      <c r="N130" s="177"/>
      <c r="O130" s="177"/>
      <c r="P130" s="178"/>
      <c r="Q130" s="204"/>
      <c r="R130" s="174"/>
    </row>
    <row r="131" spans="1:20" s="172" customFormat="1" ht="28.8" x14ac:dyDescent="0.3">
      <c r="A131" s="171">
        <v>43682</v>
      </c>
      <c r="B131" s="180" t="s">
        <v>406</v>
      </c>
      <c r="C131" s="172" t="s">
        <v>380</v>
      </c>
      <c r="D131" s="172" t="s">
        <v>319</v>
      </c>
      <c r="E131" s="172" t="s">
        <v>339</v>
      </c>
      <c r="F131" s="172" t="s">
        <v>279</v>
      </c>
      <c r="G131" s="173">
        <v>37</v>
      </c>
      <c r="H131" s="172" t="s">
        <v>396</v>
      </c>
      <c r="I131" s="172" t="s">
        <v>256</v>
      </c>
      <c r="J131" s="175">
        <v>5.0999999999999996</v>
      </c>
      <c r="K131" s="175"/>
      <c r="L131" s="172" t="s">
        <v>230</v>
      </c>
      <c r="M131" s="176">
        <v>10.8</v>
      </c>
      <c r="N131" s="177">
        <v>1.1000000000000001</v>
      </c>
      <c r="O131" s="177">
        <v>0</v>
      </c>
      <c r="P131" s="178">
        <v>0</v>
      </c>
      <c r="Q131" s="204">
        <v>1</v>
      </c>
      <c r="R131" s="174">
        <v>7</v>
      </c>
      <c r="S131" s="172" t="s">
        <v>284</v>
      </c>
    </row>
    <row r="132" spans="1:20" s="172" customFormat="1" ht="57.6" x14ac:dyDescent="0.3">
      <c r="A132" s="171">
        <v>43682</v>
      </c>
      <c r="B132" s="180" t="s">
        <v>407</v>
      </c>
      <c r="C132" s="172" t="s">
        <v>380</v>
      </c>
      <c r="D132" s="172" t="s">
        <v>319</v>
      </c>
      <c r="E132" s="172" t="s">
        <v>285</v>
      </c>
      <c r="F132" s="172" t="s">
        <v>320</v>
      </c>
      <c r="G132" s="173">
        <v>45</v>
      </c>
      <c r="H132" s="172" t="s">
        <v>396</v>
      </c>
      <c r="I132" s="172" t="s">
        <v>232</v>
      </c>
      <c r="J132" s="175">
        <v>3.7</v>
      </c>
      <c r="K132" s="175"/>
      <c r="L132" s="172" t="s">
        <v>232</v>
      </c>
      <c r="M132" s="176">
        <v>1.2</v>
      </c>
      <c r="N132" s="177">
        <v>0.2</v>
      </c>
      <c r="O132" s="177">
        <v>0</v>
      </c>
      <c r="P132" s="178">
        <v>0</v>
      </c>
      <c r="Q132" s="204">
        <v>9</v>
      </c>
      <c r="R132" s="174">
        <v>5.9</v>
      </c>
      <c r="S132" s="172" t="s">
        <v>284</v>
      </c>
      <c r="T132" s="172" t="s">
        <v>408</v>
      </c>
    </row>
    <row r="133" spans="1:20" s="172" customFormat="1" ht="28.8" x14ac:dyDescent="0.3">
      <c r="A133" s="171">
        <v>43683</v>
      </c>
      <c r="B133" s="180" t="s">
        <v>412</v>
      </c>
      <c r="C133" s="172" t="s">
        <v>413</v>
      </c>
      <c r="D133" s="172" t="s">
        <v>324</v>
      </c>
      <c r="E133" s="172" t="s">
        <v>313</v>
      </c>
      <c r="F133" s="172" t="s">
        <v>282</v>
      </c>
      <c r="G133" s="173">
        <v>46</v>
      </c>
      <c r="H133" s="172" t="s">
        <v>396</v>
      </c>
      <c r="I133" s="172" t="s">
        <v>230</v>
      </c>
      <c r="J133" s="175">
        <v>6.4</v>
      </c>
      <c r="K133" s="175"/>
      <c r="L133" s="172" t="s">
        <v>230</v>
      </c>
      <c r="M133" s="176">
        <v>13.2</v>
      </c>
      <c r="N133" s="177">
        <v>3.2</v>
      </c>
      <c r="O133" s="177">
        <v>0</v>
      </c>
      <c r="P133" s="178">
        <v>0</v>
      </c>
      <c r="Q133" s="204">
        <v>21</v>
      </c>
      <c r="R133" s="174">
        <v>4.0999999999999996</v>
      </c>
      <c r="S133" s="172" t="s">
        <v>284</v>
      </c>
    </row>
    <row r="134" spans="1:20" s="172" customFormat="1" ht="72" x14ac:dyDescent="0.3">
      <c r="A134" s="171">
        <v>43683</v>
      </c>
      <c r="B134" s="180" t="s">
        <v>414</v>
      </c>
      <c r="C134" s="172" t="s">
        <v>380</v>
      </c>
      <c r="D134" s="172" t="s">
        <v>319</v>
      </c>
      <c r="E134" s="172" t="s">
        <v>415</v>
      </c>
      <c r="F134" s="172" t="s">
        <v>320</v>
      </c>
      <c r="G134" s="173">
        <v>48</v>
      </c>
      <c r="H134" s="172" t="s">
        <v>384</v>
      </c>
      <c r="I134" s="172" t="s">
        <v>256</v>
      </c>
      <c r="J134" s="175">
        <v>6.4</v>
      </c>
      <c r="K134" s="175"/>
      <c r="L134" s="172" t="s">
        <v>230</v>
      </c>
      <c r="M134" s="176">
        <v>0</v>
      </c>
      <c r="N134" s="177">
        <v>0</v>
      </c>
      <c r="O134" s="177">
        <v>5</v>
      </c>
      <c r="P134" s="178">
        <v>0</v>
      </c>
      <c r="Q134" s="204">
        <v>75</v>
      </c>
      <c r="R134" s="174">
        <v>6.5</v>
      </c>
      <c r="S134" s="172" t="s">
        <v>284</v>
      </c>
      <c r="T134" s="172" t="s">
        <v>416</v>
      </c>
    </row>
    <row r="135" spans="1:20" s="172" customFormat="1" ht="28.8" x14ac:dyDescent="0.3">
      <c r="A135" s="171">
        <v>43684</v>
      </c>
      <c r="B135" s="180" t="s">
        <v>418</v>
      </c>
      <c r="C135" s="172" t="s">
        <v>380</v>
      </c>
      <c r="D135" s="172" t="s">
        <v>319</v>
      </c>
      <c r="E135" s="172" t="s">
        <v>339</v>
      </c>
      <c r="F135" s="172" t="s">
        <v>282</v>
      </c>
      <c r="G135" s="173">
        <v>45</v>
      </c>
      <c r="H135" s="172" t="s">
        <v>294</v>
      </c>
      <c r="I135" s="172" t="s">
        <v>230</v>
      </c>
      <c r="J135" s="175">
        <v>6.6</v>
      </c>
      <c r="K135" s="175"/>
      <c r="L135" s="172" t="s">
        <v>236</v>
      </c>
      <c r="M135" s="176">
        <v>7.2</v>
      </c>
      <c r="N135" s="177">
        <v>2.9</v>
      </c>
      <c r="O135" s="177">
        <v>0</v>
      </c>
      <c r="P135" s="178">
        <v>0</v>
      </c>
      <c r="Q135" s="204">
        <v>6</v>
      </c>
      <c r="R135" s="174">
        <v>8.1</v>
      </c>
      <c r="S135" s="172" t="s">
        <v>284</v>
      </c>
    </row>
    <row r="136" spans="1:20" s="172" customFormat="1" ht="28.8" x14ac:dyDescent="0.3">
      <c r="A136" s="171">
        <v>43685</v>
      </c>
      <c r="B136" s="180" t="s">
        <v>419</v>
      </c>
      <c r="C136" s="172" t="s">
        <v>311</v>
      </c>
      <c r="D136" s="172" t="s">
        <v>308</v>
      </c>
      <c r="E136" s="172" t="s">
        <v>278</v>
      </c>
      <c r="F136" s="172" t="s">
        <v>297</v>
      </c>
      <c r="G136" s="173">
        <v>54</v>
      </c>
      <c r="H136" s="172" t="s">
        <v>280</v>
      </c>
      <c r="I136" s="172" t="s">
        <v>325</v>
      </c>
      <c r="J136" s="175">
        <v>4.4000000000000004</v>
      </c>
      <c r="K136" s="175"/>
      <c r="L136" s="172" t="s">
        <v>254</v>
      </c>
      <c r="M136" s="176">
        <v>22.8</v>
      </c>
      <c r="N136" s="177">
        <v>4.4000000000000004</v>
      </c>
      <c r="O136" s="177">
        <v>0</v>
      </c>
      <c r="P136" s="178">
        <v>0</v>
      </c>
      <c r="Q136" s="204">
        <v>38</v>
      </c>
      <c r="R136" s="174">
        <v>1</v>
      </c>
      <c r="S136" s="172" t="s">
        <v>284</v>
      </c>
    </row>
    <row r="137" spans="1:20" s="172" customFormat="1" ht="28.8" x14ac:dyDescent="0.3">
      <c r="A137" s="171">
        <v>43687</v>
      </c>
      <c r="B137" s="180" t="s">
        <v>421</v>
      </c>
      <c r="C137" s="172" t="s">
        <v>277</v>
      </c>
      <c r="D137" s="172" t="s">
        <v>324</v>
      </c>
      <c r="E137" s="172" t="s">
        <v>278</v>
      </c>
      <c r="F137" s="172" t="s">
        <v>320</v>
      </c>
      <c r="G137" s="173">
        <v>54</v>
      </c>
      <c r="H137" s="172" t="s">
        <v>396</v>
      </c>
      <c r="I137" s="172" t="s">
        <v>325</v>
      </c>
      <c r="J137" s="175">
        <v>7.5</v>
      </c>
      <c r="K137" s="175"/>
      <c r="L137" s="172" t="s">
        <v>232</v>
      </c>
      <c r="M137" s="176">
        <v>36</v>
      </c>
      <c r="N137" s="177">
        <v>12.9</v>
      </c>
      <c r="O137" s="177">
        <v>0</v>
      </c>
      <c r="P137" s="178">
        <v>0</v>
      </c>
      <c r="Q137" s="204">
        <v>204</v>
      </c>
      <c r="R137" s="174">
        <v>1.4</v>
      </c>
      <c r="S137" s="172" t="s">
        <v>284</v>
      </c>
      <c r="T137" s="172" t="s">
        <v>422</v>
      </c>
    </row>
    <row r="138" spans="1:20" s="172" customFormat="1" ht="28.8" x14ac:dyDescent="0.3">
      <c r="A138" s="171">
        <v>43687</v>
      </c>
      <c r="B138" s="180" t="s">
        <v>424</v>
      </c>
      <c r="C138" s="172" t="s">
        <v>277</v>
      </c>
      <c r="D138" s="172" t="s">
        <v>319</v>
      </c>
      <c r="E138" s="172" t="s">
        <v>349</v>
      </c>
      <c r="F138" s="172" t="s">
        <v>279</v>
      </c>
      <c r="G138" s="173">
        <v>52</v>
      </c>
      <c r="H138" s="172" t="s">
        <v>294</v>
      </c>
      <c r="I138" s="172" t="s">
        <v>236</v>
      </c>
      <c r="J138" s="175">
        <v>3.1</v>
      </c>
      <c r="K138" s="175"/>
      <c r="L138" s="172" t="s">
        <v>227</v>
      </c>
      <c r="M138" s="176">
        <v>25.2</v>
      </c>
      <c r="N138" s="177">
        <v>6.5</v>
      </c>
      <c r="O138" s="177">
        <v>0</v>
      </c>
      <c r="P138" s="178">
        <v>0</v>
      </c>
      <c r="Q138" s="204">
        <v>207</v>
      </c>
      <c r="R138" s="174">
        <v>1.7</v>
      </c>
      <c r="S138" s="172" t="s">
        <v>284</v>
      </c>
      <c r="T138" s="172" t="s">
        <v>423</v>
      </c>
    </row>
    <row r="139" spans="1:20" s="172" customFormat="1" ht="28.8" x14ac:dyDescent="0.3">
      <c r="A139" s="171" t="s">
        <v>430</v>
      </c>
      <c r="B139" s="180" t="s">
        <v>425</v>
      </c>
      <c r="C139" s="172" t="s">
        <v>277</v>
      </c>
      <c r="D139" s="172" t="s">
        <v>308</v>
      </c>
      <c r="E139" s="172" t="s">
        <v>339</v>
      </c>
      <c r="F139" s="172" t="s">
        <v>282</v>
      </c>
      <c r="G139" s="173">
        <v>53</v>
      </c>
      <c r="H139" s="172" t="s">
        <v>309</v>
      </c>
      <c r="I139" s="172" t="s">
        <v>227</v>
      </c>
      <c r="J139" s="175">
        <v>5.0999999999999996</v>
      </c>
      <c r="K139" s="175"/>
      <c r="L139" s="172" t="s">
        <v>227</v>
      </c>
      <c r="M139" s="176">
        <v>33.6</v>
      </c>
      <c r="N139" s="177">
        <v>15.6</v>
      </c>
      <c r="O139" s="177">
        <v>0</v>
      </c>
      <c r="P139" s="178">
        <v>0</v>
      </c>
      <c r="Q139" s="204">
        <v>43</v>
      </c>
      <c r="R139" s="174">
        <v>4.0999999999999996</v>
      </c>
      <c r="S139" s="172" t="s">
        <v>284</v>
      </c>
    </row>
    <row r="140" spans="1:20" s="172" customFormat="1" ht="28.8" x14ac:dyDescent="0.3">
      <c r="A140" s="171">
        <v>43690</v>
      </c>
      <c r="B140" s="180" t="s">
        <v>431</v>
      </c>
      <c r="C140" s="172" t="s">
        <v>277</v>
      </c>
      <c r="D140" s="172" t="s">
        <v>308</v>
      </c>
      <c r="E140" s="172" t="s">
        <v>278</v>
      </c>
      <c r="F140" s="172" t="s">
        <v>282</v>
      </c>
      <c r="G140" s="173">
        <v>45</v>
      </c>
      <c r="H140" s="172" t="s">
        <v>298</v>
      </c>
      <c r="I140" s="172" t="s">
        <v>325</v>
      </c>
      <c r="J140" s="175">
        <v>4.0999999999999996</v>
      </c>
      <c r="K140" s="175"/>
      <c r="L140" s="172" t="s">
        <v>232</v>
      </c>
      <c r="M140" s="176">
        <v>15.2</v>
      </c>
      <c r="N140" s="177">
        <v>7.9</v>
      </c>
      <c r="O140" s="177">
        <v>0</v>
      </c>
      <c r="P140" s="178">
        <v>0</v>
      </c>
      <c r="Q140" s="522">
        <v>1079</v>
      </c>
      <c r="R140" s="502">
        <v>0.5</v>
      </c>
      <c r="S140" s="172" t="s">
        <v>284</v>
      </c>
    </row>
    <row r="141" spans="1:20" s="172" customFormat="1" ht="28.8" x14ac:dyDescent="0.3">
      <c r="A141" s="171" t="s">
        <v>429</v>
      </c>
      <c r="B141" s="180" t="s">
        <v>432</v>
      </c>
      <c r="C141" s="172" t="s">
        <v>277</v>
      </c>
      <c r="D141" s="172" t="s">
        <v>308</v>
      </c>
      <c r="E141" s="172" t="s">
        <v>278</v>
      </c>
      <c r="F141" s="172" t="s">
        <v>282</v>
      </c>
      <c r="G141" s="173">
        <v>57</v>
      </c>
      <c r="H141" s="172" t="s">
        <v>298</v>
      </c>
      <c r="I141" s="172" t="s">
        <v>325</v>
      </c>
      <c r="J141" s="175">
        <v>4.0999999999999996</v>
      </c>
      <c r="K141" s="175"/>
      <c r="L141" s="172" t="s">
        <v>227</v>
      </c>
      <c r="M141" s="176">
        <v>42.7</v>
      </c>
      <c r="N141" s="177">
        <v>71.099999999999994</v>
      </c>
      <c r="O141" s="177">
        <v>0</v>
      </c>
      <c r="P141" s="178">
        <v>0</v>
      </c>
      <c r="Q141" s="523"/>
      <c r="R141" s="503"/>
      <c r="S141" s="172" t="s">
        <v>284</v>
      </c>
      <c r="T141" s="172" t="s">
        <v>423</v>
      </c>
    </row>
    <row r="142" spans="1:20" s="172" customFormat="1" ht="28.8" x14ac:dyDescent="0.3">
      <c r="A142" s="171">
        <v>43699</v>
      </c>
      <c r="B142" s="180" t="s">
        <v>433</v>
      </c>
      <c r="C142" s="172" t="s">
        <v>277</v>
      </c>
      <c r="D142" s="172" t="s">
        <v>308</v>
      </c>
      <c r="E142" s="172" t="s">
        <v>278</v>
      </c>
      <c r="F142" s="172" t="s">
        <v>282</v>
      </c>
      <c r="G142" s="173">
        <v>48</v>
      </c>
      <c r="H142" s="172" t="s">
        <v>280</v>
      </c>
      <c r="I142" s="172" t="s">
        <v>325</v>
      </c>
      <c r="J142" s="175">
        <v>7.1</v>
      </c>
      <c r="K142" s="175"/>
      <c r="L142" s="172" t="s">
        <v>328</v>
      </c>
      <c r="M142" s="176">
        <v>7.2</v>
      </c>
      <c r="N142" s="177">
        <v>4</v>
      </c>
      <c r="O142" s="177">
        <v>0</v>
      </c>
      <c r="P142" s="178">
        <v>0</v>
      </c>
      <c r="Q142" s="204">
        <v>77</v>
      </c>
      <c r="R142" s="389">
        <v>0.5</v>
      </c>
      <c r="S142" s="172" t="s">
        <v>284</v>
      </c>
    </row>
    <row r="143" spans="1:20" s="172" customFormat="1" ht="28.8" x14ac:dyDescent="0.3">
      <c r="A143" s="171">
        <v>43707</v>
      </c>
      <c r="B143" s="180" t="s">
        <v>441</v>
      </c>
      <c r="C143" s="172" t="s">
        <v>440</v>
      </c>
      <c r="D143" s="172" t="s">
        <v>319</v>
      </c>
      <c r="E143" s="172" t="s">
        <v>313</v>
      </c>
      <c r="F143" s="172" t="s">
        <v>279</v>
      </c>
      <c r="G143" s="173">
        <v>0</v>
      </c>
      <c r="H143" s="172" t="s">
        <v>347</v>
      </c>
      <c r="I143" s="172" t="s">
        <v>231</v>
      </c>
      <c r="J143" s="175">
        <v>5.8</v>
      </c>
      <c r="K143" s="175"/>
      <c r="L143" s="172" t="s">
        <v>254</v>
      </c>
      <c r="M143" s="176">
        <v>0</v>
      </c>
      <c r="N143" s="177">
        <v>0</v>
      </c>
      <c r="O143" s="177">
        <v>0</v>
      </c>
      <c r="P143" s="178">
        <v>0</v>
      </c>
      <c r="Q143" s="204">
        <v>15</v>
      </c>
      <c r="R143" s="390">
        <v>4.5</v>
      </c>
      <c r="S143" s="172" t="s">
        <v>284</v>
      </c>
    </row>
    <row r="144" spans="1:20" s="172" customFormat="1" x14ac:dyDescent="0.3">
      <c r="A144" s="171"/>
      <c r="B144" s="180"/>
      <c r="G144" s="173"/>
      <c r="J144" s="175"/>
      <c r="K144" s="175"/>
      <c r="M144" s="176"/>
      <c r="N144" s="177"/>
      <c r="O144" s="177"/>
      <c r="P144" s="178"/>
      <c r="Q144" s="204"/>
      <c r="R144" s="174"/>
    </row>
    <row r="145" spans="1:20" s="172" customFormat="1" x14ac:dyDescent="0.3">
      <c r="A145" s="171"/>
      <c r="G145" s="173"/>
      <c r="J145" s="175"/>
      <c r="K145" s="175"/>
      <c r="M145" s="176"/>
      <c r="N145" s="177"/>
      <c r="O145" s="177"/>
      <c r="P145" s="178"/>
      <c r="Q145" s="204"/>
      <c r="R145" s="174"/>
    </row>
    <row r="146" spans="1:20" s="172" customFormat="1" x14ac:dyDescent="0.3">
      <c r="A146" s="171"/>
      <c r="C146" s="69" t="s">
        <v>140</v>
      </c>
      <c r="D146" s="69"/>
      <c r="E146" s="157"/>
      <c r="F146" s="157"/>
      <c r="G146" s="157">
        <f>COUNTIF(S131:S145,"*áno*")</f>
        <v>13</v>
      </c>
      <c r="J146" s="175"/>
      <c r="K146" s="175"/>
      <c r="M146" s="176"/>
      <c r="N146" s="177"/>
      <c r="P146" s="178"/>
      <c r="Q146" s="204"/>
      <c r="R146" s="174"/>
    </row>
    <row r="147" spans="1:20" s="172" customFormat="1" x14ac:dyDescent="0.3">
      <c r="A147" s="171"/>
      <c r="C147" s="69" t="s">
        <v>141</v>
      </c>
      <c r="D147" s="69"/>
      <c r="E147" s="157"/>
      <c r="F147" s="157"/>
      <c r="G147" s="157">
        <f>COUNTIF(E131:E145,"*w*")</f>
        <v>10</v>
      </c>
      <c r="J147" s="175"/>
      <c r="K147" s="175"/>
      <c r="M147" s="176"/>
      <c r="N147" s="177"/>
      <c r="O147" s="177"/>
      <c r="P147" s="178"/>
      <c r="Q147" s="204"/>
      <c r="R147" s="174"/>
    </row>
    <row r="148" spans="1:20" s="172" customFormat="1" x14ac:dyDescent="0.3">
      <c r="A148" s="171"/>
      <c r="C148" s="69" t="s">
        <v>142</v>
      </c>
      <c r="D148" s="69"/>
      <c r="E148" s="157"/>
      <c r="F148" s="157"/>
      <c r="G148" s="157">
        <f>COUNTIF(E131:E145,"*P*")</f>
        <v>6</v>
      </c>
      <c r="J148" s="175"/>
      <c r="K148" s="175"/>
      <c r="M148" s="176"/>
      <c r="N148" s="177"/>
      <c r="O148" s="177"/>
      <c r="P148" s="178"/>
      <c r="Q148" s="204"/>
      <c r="R148" s="174"/>
    </row>
    <row r="149" spans="1:20" s="172" customFormat="1" x14ac:dyDescent="0.3">
      <c r="A149" s="171"/>
      <c r="C149" s="69" t="s">
        <v>143</v>
      </c>
      <c r="D149" s="69"/>
      <c r="E149" s="157"/>
      <c r="F149" s="157"/>
      <c r="G149" s="157">
        <f>COUNTIF(E131:E145,"*L*")</f>
        <v>2</v>
      </c>
      <c r="J149" s="175"/>
      <c r="K149" s="175"/>
      <c r="M149" s="176"/>
      <c r="N149" s="177"/>
      <c r="O149" s="177"/>
      <c r="P149" s="178"/>
      <c r="Q149" s="204"/>
      <c r="R149" s="174"/>
    </row>
    <row r="150" spans="1:20" s="172" customFormat="1" x14ac:dyDescent="0.3">
      <c r="A150" s="171"/>
      <c r="C150" s="69" t="s">
        <v>144</v>
      </c>
      <c r="D150" s="69"/>
      <c r="E150" s="157"/>
      <c r="F150" s="157"/>
      <c r="G150" s="157">
        <f>COUNTIF(E131:E145,"*V*")</f>
        <v>5</v>
      </c>
      <c r="J150" s="175"/>
      <c r="K150" s="175"/>
      <c r="M150" s="176"/>
      <c r="N150" s="177"/>
      <c r="O150" s="177"/>
      <c r="P150" s="178"/>
      <c r="Q150" s="204"/>
      <c r="R150" s="174"/>
    </row>
    <row r="151" spans="1:20" s="172" customFormat="1" x14ac:dyDescent="0.3">
      <c r="A151" s="171"/>
      <c r="C151" s="69"/>
      <c r="D151" s="69"/>
      <c r="E151" s="157"/>
      <c r="F151" s="157"/>
      <c r="G151" s="157"/>
      <c r="J151" s="175"/>
      <c r="K151" s="175"/>
      <c r="M151" s="176"/>
      <c r="N151" s="177"/>
      <c r="O151" s="177"/>
      <c r="P151" s="178"/>
      <c r="Q151" s="204"/>
      <c r="R151" s="174"/>
    </row>
    <row r="152" spans="1:20" s="172" customFormat="1" x14ac:dyDescent="0.3">
      <c r="A152" s="171"/>
      <c r="C152" s="69" t="s">
        <v>145</v>
      </c>
      <c r="D152" s="69"/>
      <c r="E152" s="157"/>
      <c r="F152" s="157"/>
      <c r="G152" s="157">
        <f>COUNTIF(E131:E145,"*D*")</f>
        <v>13</v>
      </c>
      <c r="J152" s="175"/>
      <c r="K152" s="175"/>
      <c r="M152" s="176"/>
      <c r="N152" s="177"/>
      <c r="O152" s="177"/>
      <c r="P152" s="178"/>
      <c r="Q152" s="204"/>
      <c r="R152" s="174"/>
    </row>
    <row r="153" spans="1:20" s="172" customFormat="1" x14ac:dyDescent="0.3">
      <c r="A153" s="171"/>
      <c r="C153" s="69" t="s">
        <v>146</v>
      </c>
      <c r="D153" s="69"/>
      <c r="E153" s="157"/>
      <c r="F153" s="157"/>
      <c r="G153" s="157">
        <f>COUNTIF(E131:E145,"*S*")</f>
        <v>0</v>
      </c>
      <c r="J153" s="175"/>
      <c r="K153" s="175"/>
      <c r="M153" s="176"/>
      <c r="N153" s="177"/>
      <c r="O153" s="177"/>
      <c r="P153" s="178"/>
      <c r="Q153" s="204"/>
      <c r="R153" s="174"/>
    </row>
    <row r="154" spans="1:20" s="172" customFormat="1" x14ac:dyDescent="0.3">
      <c r="A154" s="171"/>
      <c r="C154" s="69" t="s">
        <v>147</v>
      </c>
      <c r="D154" s="69"/>
      <c r="E154" s="157"/>
      <c r="F154" s="157"/>
      <c r="G154" s="157">
        <f>COUNTIF(E131:E145,"*K*")</f>
        <v>1</v>
      </c>
      <c r="J154" s="175"/>
      <c r="K154" s="175"/>
      <c r="M154" s="176"/>
      <c r="N154" s="177"/>
      <c r="O154" s="177"/>
      <c r="P154" s="178"/>
      <c r="Q154" s="204"/>
      <c r="R154" s="174"/>
    </row>
    <row r="155" spans="1:20" s="172" customFormat="1" x14ac:dyDescent="0.3">
      <c r="A155" s="171"/>
      <c r="C155" s="69" t="s">
        <v>148</v>
      </c>
      <c r="D155" s="69"/>
      <c r="E155" s="157"/>
      <c r="F155" s="157"/>
      <c r="G155" s="157">
        <f>COUNTIF(E131:E145,"*Z*")</f>
        <v>13</v>
      </c>
      <c r="J155" s="175"/>
      <c r="K155" s="175"/>
      <c r="M155" s="176"/>
      <c r="N155" s="177"/>
      <c r="O155" s="177"/>
      <c r="P155" s="178"/>
      <c r="Q155" s="204"/>
      <c r="R155" s="174"/>
    </row>
    <row r="156" spans="1:20" s="172" customFormat="1" x14ac:dyDescent="0.3">
      <c r="A156" s="171"/>
      <c r="C156" s="183"/>
      <c r="D156" s="183"/>
      <c r="J156" s="175"/>
      <c r="K156" s="175"/>
      <c r="M156" s="176"/>
      <c r="N156" s="177"/>
      <c r="O156" s="177"/>
      <c r="P156" s="178"/>
      <c r="Q156" s="204"/>
      <c r="R156" s="174"/>
    </row>
    <row r="157" spans="1:20" s="172" customFormat="1" x14ac:dyDescent="0.3">
      <c r="A157" s="179" t="s">
        <v>114</v>
      </c>
      <c r="G157" s="173"/>
      <c r="J157" s="175"/>
      <c r="K157" s="175"/>
      <c r="M157" s="176"/>
      <c r="N157" s="177"/>
      <c r="O157" s="177"/>
      <c r="P157" s="178"/>
      <c r="Q157" s="204"/>
      <c r="R157" s="174"/>
    </row>
    <row r="158" spans="1:20" s="172" customFormat="1" ht="28.8" x14ac:dyDescent="0.3">
      <c r="A158" s="171" t="s">
        <v>450</v>
      </c>
      <c r="B158" s="180" t="s">
        <v>449</v>
      </c>
      <c r="C158" s="172" t="s">
        <v>311</v>
      </c>
      <c r="D158" s="172" t="s">
        <v>308</v>
      </c>
      <c r="E158" s="172" t="s">
        <v>446</v>
      </c>
      <c r="F158" s="172" t="s">
        <v>279</v>
      </c>
      <c r="G158" s="173">
        <v>58</v>
      </c>
      <c r="H158" s="172" t="s">
        <v>294</v>
      </c>
      <c r="I158" s="172" t="s">
        <v>325</v>
      </c>
      <c r="J158" s="175">
        <v>5.0999999999999996</v>
      </c>
      <c r="K158" s="175"/>
      <c r="L158" s="172" t="s">
        <v>231</v>
      </c>
      <c r="M158" s="176">
        <v>70.400000000000006</v>
      </c>
      <c r="N158" s="177">
        <v>34.5</v>
      </c>
      <c r="O158" s="177">
        <v>0</v>
      </c>
      <c r="P158" s="178">
        <v>0</v>
      </c>
      <c r="Q158" s="204">
        <v>131</v>
      </c>
      <c r="R158" s="174">
        <v>0.2</v>
      </c>
      <c r="S158" s="172" t="s">
        <v>284</v>
      </c>
      <c r="T158" s="172" t="s">
        <v>445</v>
      </c>
    </row>
    <row r="159" spans="1:20" s="172" customFormat="1" x14ac:dyDescent="0.3">
      <c r="A159" s="171"/>
      <c r="G159" s="173"/>
      <c r="J159" s="175"/>
      <c r="K159" s="175"/>
      <c r="M159" s="176"/>
      <c r="N159" s="177"/>
      <c r="O159" s="177"/>
      <c r="P159" s="178"/>
      <c r="Q159" s="204"/>
      <c r="R159" s="174"/>
    </row>
    <row r="160" spans="1:20" s="172" customFormat="1" x14ac:dyDescent="0.3">
      <c r="A160" s="171"/>
      <c r="G160" s="173"/>
      <c r="J160" s="175"/>
      <c r="K160" s="175"/>
      <c r="M160" s="176"/>
      <c r="N160" s="177"/>
      <c r="O160" s="177"/>
      <c r="P160" s="178"/>
      <c r="Q160" s="204"/>
      <c r="R160" s="174"/>
    </row>
    <row r="161" spans="1:18" s="172" customFormat="1" x14ac:dyDescent="0.3">
      <c r="A161" s="171"/>
      <c r="G161" s="173"/>
      <c r="J161" s="175"/>
      <c r="K161" s="175"/>
      <c r="M161" s="176"/>
      <c r="N161" s="177"/>
      <c r="O161" s="177"/>
      <c r="P161" s="178"/>
      <c r="Q161" s="204"/>
      <c r="R161" s="174"/>
    </row>
    <row r="162" spans="1:18" s="172" customFormat="1" x14ac:dyDescent="0.3">
      <c r="A162" s="171"/>
      <c r="G162" s="173"/>
      <c r="J162" s="175"/>
      <c r="K162" s="175"/>
      <c r="M162" s="176"/>
      <c r="N162" s="177"/>
      <c r="O162" s="177"/>
      <c r="P162" s="178"/>
      <c r="Q162" s="204"/>
      <c r="R162" s="174"/>
    </row>
    <row r="163" spans="1:18" s="172" customFormat="1" x14ac:dyDescent="0.3">
      <c r="A163" s="171"/>
      <c r="B163" s="180"/>
      <c r="G163" s="173"/>
      <c r="J163" s="175"/>
      <c r="K163" s="175"/>
      <c r="M163" s="176"/>
      <c r="N163" s="177"/>
      <c r="O163" s="177"/>
      <c r="P163" s="178"/>
      <c r="Q163" s="204"/>
      <c r="R163" s="174"/>
    </row>
    <row r="164" spans="1:18" s="172" customFormat="1" x14ac:dyDescent="0.3">
      <c r="A164" s="171"/>
      <c r="B164" s="180"/>
      <c r="C164" s="69" t="s">
        <v>140</v>
      </c>
      <c r="D164" s="69"/>
      <c r="E164" s="157"/>
      <c r="F164" s="157"/>
      <c r="G164" s="157">
        <f>COUNTIF(S158:S163,"*áno*")</f>
        <v>1</v>
      </c>
      <c r="J164" s="175"/>
      <c r="K164" s="175"/>
      <c r="M164" s="176"/>
      <c r="N164" s="177"/>
      <c r="O164" s="177"/>
      <c r="P164" s="178"/>
      <c r="Q164" s="204"/>
      <c r="R164" s="174"/>
    </row>
    <row r="165" spans="1:18" s="172" customFormat="1" x14ac:dyDescent="0.3">
      <c r="A165" s="171"/>
      <c r="B165" s="180"/>
      <c r="C165" s="69" t="s">
        <v>141</v>
      </c>
      <c r="D165" s="69"/>
      <c r="E165" s="157"/>
      <c r="F165" s="157"/>
      <c r="G165" s="157">
        <f>COUNTIF(E158:E163,"*w*")</f>
        <v>1</v>
      </c>
      <c r="J165" s="175"/>
      <c r="K165" s="175"/>
      <c r="M165" s="176"/>
      <c r="N165" s="177"/>
      <c r="O165" s="177"/>
      <c r="P165" s="178"/>
      <c r="Q165" s="204"/>
      <c r="R165" s="174"/>
    </row>
    <row r="166" spans="1:18" s="172" customFormat="1" x14ac:dyDescent="0.3">
      <c r="A166" s="171"/>
      <c r="B166" s="180"/>
      <c r="C166" s="69" t="s">
        <v>142</v>
      </c>
      <c r="D166" s="69"/>
      <c r="E166" s="157"/>
      <c r="F166" s="157"/>
      <c r="G166" s="157">
        <f>COUNTIF(E158:E163,"*P*")</f>
        <v>1</v>
      </c>
      <c r="J166" s="175"/>
      <c r="K166" s="175"/>
      <c r="M166" s="176"/>
      <c r="N166" s="177"/>
      <c r="O166" s="177"/>
      <c r="P166" s="178"/>
      <c r="Q166" s="204"/>
      <c r="R166" s="174"/>
    </row>
    <row r="167" spans="1:18" s="172" customFormat="1" x14ac:dyDescent="0.3">
      <c r="A167" s="171"/>
      <c r="B167" s="180"/>
      <c r="C167" s="69" t="s">
        <v>143</v>
      </c>
      <c r="D167" s="69"/>
      <c r="E167" s="157"/>
      <c r="F167" s="157"/>
      <c r="G167" s="157">
        <f>COUNTIF(E158:E163,"*L*")</f>
        <v>0</v>
      </c>
      <c r="J167" s="175"/>
      <c r="K167" s="175"/>
      <c r="M167" s="176"/>
      <c r="N167" s="177"/>
      <c r="O167" s="177"/>
      <c r="P167" s="178"/>
      <c r="Q167" s="204"/>
      <c r="R167" s="174"/>
    </row>
    <row r="168" spans="1:18" s="172" customFormat="1" x14ac:dyDescent="0.3">
      <c r="A168" s="171"/>
      <c r="C168" s="69" t="s">
        <v>144</v>
      </c>
      <c r="D168" s="69"/>
      <c r="E168" s="157"/>
      <c r="F168" s="157"/>
      <c r="G168" s="157">
        <f>COUNTIF(E158:E163,"*V*")</f>
        <v>0</v>
      </c>
      <c r="J168" s="175"/>
      <c r="K168" s="175"/>
      <c r="M168" s="176"/>
      <c r="N168" s="177"/>
      <c r="O168" s="177"/>
      <c r="P168" s="178"/>
      <c r="Q168" s="204"/>
      <c r="R168" s="174"/>
    </row>
    <row r="169" spans="1:18" s="172" customFormat="1" x14ac:dyDescent="0.3">
      <c r="A169" s="171"/>
      <c r="C169" s="69"/>
      <c r="D169" s="69"/>
      <c r="E169" s="157"/>
      <c r="F169" s="157"/>
      <c r="G169" s="157"/>
      <c r="J169" s="175"/>
      <c r="K169" s="175"/>
      <c r="M169" s="176"/>
      <c r="N169" s="177"/>
      <c r="O169" s="177"/>
      <c r="P169" s="178"/>
      <c r="Q169" s="204"/>
      <c r="R169" s="174"/>
    </row>
    <row r="170" spans="1:18" s="172" customFormat="1" x14ac:dyDescent="0.3">
      <c r="A170" s="171"/>
      <c r="C170" s="69" t="s">
        <v>145</v>
      </c>
      <c r="D170" s="69"/>
      <c r="E170" s="157"/>
      <c r="F170" s="157"/>
      <c r="G170" s="157">
        <f>COUNTIF(E158:E163,"*D*")</f>
        <v>1</v>
      </c>
      <c r="J170" s="175"/>
      <c r="K170" s="175"/>
      <c r="M170" s="176"/>
      <c r="N170" s="177"/>
      <c r="O170" s="177"/>
      <c r="P170" s="178"/>
      <c r="Q170" s="204"/>
      <c r="R170" s="174"/>
    </row>
    <row r="171" spans="1:18" s="172" customFormat="1" x14ac:dyDescent="0.3">
      <c r="A171" s="171"/>
      <c r="C171" s="69" t="s">
        <v>146</v>
      </c>
      <c r="D171" s="69"/>
      <c r="E171" s="157"/>
      <c r="F171" s="157"/>
      <c r="G171" s="157">
        <f>COUNTIF(E158:E163,"*S*")</f>
        <v>0</v>
      </c>
      <c r="J171" s="175"/>
      <c r="K171" s="175"/>
      <c r="M171" s="176"/>
      <c r="N171" s="177"/>
      <c r="O171" s="177"/>
      <c r="P171" s="178"/>
      <c r="Q171" s="204"/>
      <c r="R171" s="174"/>
    </row>
    <row r="172" spans="1:18" s="172" customFormat="1" x14ac:dyDescent="0.3">
      <c r="A172" s="171"/>
      <c r="C172" s="69" t="s">
        <v>147</v>
      </c>
      <c r="D172" s="69"/>
      <c r="E172" s="157"/>
      <c r="F172" s="157"/>
      <c r="G172" s="157">
        <f>COUNTIF(E158:E163,"*K*")</f>
        <v>0</v>
      </c>
      <c r="J172" s="175"/>
      <c r="K172" s="175"/>
      <c r="M172" s="176"/>
      <c r="N172" s="177"/>
      <c r="O172" s="177"/>
      <c r="P172" s="178"/>
      <c r="Q172" s="204"/>
      <c r="R172" s="174"/>
    </row>
    <row r="173" spans="1:18" s="172" customFormat="1" x14ac:dyDescent="0.3">
      <c r="A173" s="171"/>
      <c r="C173" s="69" t="s">
        <v>148</v>
      </c>
      <c r="D173" s="69"/>
      <c r="E173" s="157"/>
      <c r="F173" s="157"/>
      <c r="G173" s="157">
        <f>COUNTIF(E158:E163,"*Z*")</f>
        <v>1</v>
      </c>
      <c r="J173" s="175"/>
      <c r="K173" s="175"/>
      <c r="M173" s="176"/>
      <c r="N173" s="177"/>
      <c r="O173" s="177"/>
      <c r="P173" s="178"/>
      <c r="Q173" s="204"/>
      <c r="R173" s="174"/>
    </row>
    <row r="174" spans="1:18" s="172" customFormat="1" x14ac:dyDescent="0.3">
      <c r="A174" s="171"/>
      <c r="C174" s="183"/>
      <c r="D174" s="183"/>
      <c r="J174" s="175"/>
      <c r="K174" s="175"/>
      <c r="M174" s="176"/>
      <c r="N174" s="177"/>
      <c r="O174" s="177"/>
      <c r="P174" s="178"/>
      <c r="Q174" s="204"/>
      <c r="R174" s="174"/>
    </row>
    <row r="175" spans="1:18" s="172" customFormat="1" x14ac:dyDescent="0.3">
      <c r="A175" s="179" t="s">
        <v>181</v>
      </c>
      <c r="G175" s="173"/>
      <c r="J175" s="175"/>
      <c r="K175" s="175"/>
      <c r="M175" s="176"/>
      <c r="N175" s="177"/>
      <c r="O175" s="177"/>
      <c r="P175" s="178"/>
      <c r="Q175" s="204"/>
      <c r="R175" s="174"/>
    </row>
    <row r="176" spans="1:18" s="172" customFormat="1" x14ac:dyDescent="0.3">
      <c r="A176" s="171"/>
      <c r="C176" s="183"/>
      <c r="D176" s="183"/>
      <c r="J176" s="175"/>
      <c r="K176" s="175"/>
      <c r="M176" s="176"/>
      <c r="N176" s="177"/>
      <c r="O176" s="177"/>
      <c r="P176" s="178"/>
      <c r="Q176" s="204"/>
      <c r="R176" s="174"/>
    </row>
    <row r="177" spans="1:18" s="172" customFormat="1" x14ac:dyDescent="0.3">
      <c r="A177" s="171"/>
      <c r="C177" s="183"/>
      <c r="D177" s="183"/>
      <c r="J177" s="175"/>
      <c r="K177" s="175"/>
      <c r="M177" s="176"/>
      <c r="N177" s="177"/>
      <c r="O177" s="177"/>
      <c r="P177" s="178"/>
      <c r="Q177" s="204"/>
      <c r="R177" s="174"/>
    </row>
    <row r="178" spans="1:18" s="172" customFormat="1" x14ac:dyDescent="0.3">
      <c r="A178" s="171"/>
      <c r="C178" s="69" t="s">
        <v>140</v>
      </c>
      <c r="D178" s="69"/>
      <c r="E178" s="157"/>
      <c r="F178" s="157"/>
      <c r="G178" s="157">
        <f>COUNTIF(S176:S177,"*áno*")</f>
        <v>0</v>
      </c>
      <c r="J178" s="175"/>
      <c r="K178" s="175"/>
      <c r="M178" s="176"/>
      <c r="N178" s="177"/>
      <c r="O178" s="177"/>
      <c r="P178" s="178"/>
      <c r="Q178" s="204"/>
      <c r="R178" s="174"/>
    </row>
    <row r="179" spans="1:18" s="172" customFormat="1" x14ac:dyDescent="0.3">
      <c r="A179" s="171"/>
      <c r="C179" s="69" t="s">
        <v>141</v>
      </c>
      <c r="D179" s="69"/>
      <c r="E179" s="157"/>
      <c r="F179" s="157"/>
      <c r="G179" s="157">
        <f>COUNTIF(E176:E177,"*w*")</f>
        <v>0</v>
      </c>
      <c r="J179" s="175"/>
      <c r="K179" s="175"/>
      <c r="M179" s="176"/>
      <c r="N179" s="177"/>
      <c r="O179" s="177"/>
      <c r="P179" s="178"/>
      <c r="Q179" s="204"/>
      <c r="R179" s="174"/>
    </row>
    <row r="180" spans="1:18" s="172" customFormat="1" x14ac:dyDescent="0.3">
      <c r="A180" s="171"/>
      <c r="C180" s="69" t="s">
        <v>142</v>
      </c>
      <c r="D180" s="69"/>
      <c r="E180" s="157"/>
      <c r="F180" s="157"/>
      <c r="G180" s="157">
        <f>COUNTIF(E176:E177,"*P*")</f>
        <v>0</v>
      </c>
      <c r="J180" s="175"/>
      <c r="K180" s="175"/>
      <c r="M180" s="176"/>
      <c r="N180" s="177"/>
      <c r="O180" s="177"/>
      <c r="P180" s="178"/>
      <c r="Q180" s="204"/>
      <c r="R180" s="174"/>
    </row>
    <row r="181" spans="1:18" s="172" customFormat="1" x14ac:dyDescent="0.3">
      <c r="A181" s="171"/>
      <c r="C181" s="69" t="s">
        <v>143</v>
      </c>
      <c r="D181" s="69"/>
      <c r="E181" s="157"/>
      <c r="F181" s="157"/>
      <c r="G181" s="157">
        <f>COUNTIF(E176:E177,"*L*")</f>
        <v>0</v>
      </c>
      <c r="J181" s="175"/>
      <c r="K181" s="175"/>
      <c r="M181" s="176"/>
      <c r="N181" s="177"/>
      <c r="O181" s="177"/>
      <c r="P181" s="178"/>
      <c r="Q181" s="204"/>
      <c r="R181" s="174"/>
    </row>
    <row r="182" spans="1:18" s="172" customFormat="1" x14ac:dyDescent="0.3">
      <c r="A182" s="171"/>
      <c r="C182" s="69" t="s">
        <v>144</v>
      </c>
      <c r="D182" s="69"/>
      <c r="E182" s="157"/>
      <c r="F182" s="157"/>
      <c r="G182" s="157">
        <f>COUNTIF(E176:E177,"*V*")</f>
        <v>0</v>
      </c>
      <c r="J182" s="175"/>
      <c r="K182" s="175"/>
      <c r="M182" s="176"/>
      <c r="N182" s="177"/>
      <c r="O182" s="177"/>
      <c r="P182" s="178"/>
      <c r="Q182" s="204"/>
      <c r="R182" s="174"/>
    </row>
    <row r="183" spans="1:18" s="172" customFormat="1" x14ac:dyDescent="0.3">
      <c r="A183" s="171"/>
      <c r="C183" s="69"/>
      <c r="D183" s="69"/>
      <c r="E183" s="157"/>
      <c r="F183" s="157"/>
      <c r="G183" s="157"/>
      <c r="J183" s="175"/>
      <c r="K183" s="175"/>
      <c r="M183" s="176"/>
      <c r="N183" s="177"/>
      <c r="O183" s="177"/>
      <c r="P183" s="178"/>
      <c r="Q183" s="204"/>
      <c r="R183" s="174"/>
    </row>
    <row r="184" spans="1:18" s="172" customFormat="1" x14ac:dyDescent="0.3">
      <c r="A184" s="171"/>
      <c r="C184" s="69" t="s">
        <v>145</v>
      </c>
      <c r="D184" s="69"/>
      <c r="E184" s="157"/>
      <c r="F184" s="157"/>
      <c r="G184" s="157">
        <f>COUNTIF(E176:E177,"*D*")</f>
        <v>0</v>
      </c>
      <c r="J184" s="175"/>
      <c r="K184" s="175"/>
      <c r="M184" s="176"/>
      <c r="N184" s="177"/>
      <c r="O184" s="177"/>
      <c r="P184" s="178"/>
      <c r="Q184" s="204"/>
      <c r="R184" s="174"/>
    </row>
    <row r="185" spans="1:18" s="172" customFormat="1" x14ac:dyDescent="0.3">
      <c r="A185" s="171"/>
      <c r="C185" s="69" t="s">
        <v>146</v>
      </c>
      <c r="D185" s="69"/>
      <c r="E185" s="157"/>
      <c r="F185" s="157"/>
      <c r="G185" s="157">
        <f>COUNTIF(E176:E177,"*S*")</f>
        <v>0</v>
      </c>
      <c r="J185" s="175"/>
      <c r="K185" s="175"/>
      <c r="M185" s="176"/>
      <c r="N185" s="177"/>
      <c r="O185" s="177"/>
      <c r="P185" s="178"/>
      <c r="Q185" s="204"/>
      <c r="R185" s="174"/>
    </row>
    <row r="186" spans="1:18" s="172" customFormat="1" x14ac:dyDescent="0.3">
      <c r="A186" s="171"/>
      <c r="C186" s="69" t="s">
        <v>147</v>
      </c>
      <c r="D186" s="69"/>
      <c r="E186" s="157"/>
      <c r="F186" s="157"/>
      <c r="G186" s="157">
        <f>COUNTIF(E176:E177,"*K*")</f>
        <v>0</v>
      </c>
      <c r="J186" s="175"/>
      <c r="K186" s="175"/>
      <c r="M186" s="176"/>
      <c r="N186" s="177"/>
      <c r="O186" s="177"/>
      <c r="P186" s="178"/>
      <c r="Q186" s="204"/>
      <c r="R186" s="174"/>
    </row>
    <row r="187" spans="1:18" s="172" customFormat="1" x14ac:dyDescent="0.3">
      <c r="A187" s="171"/>
      <c r="C187" s="69" t="s">
        <v>148</v>
      </c>
      <c r="D187" s="69"/>
      <c r="E187" s="157"/>
      <c r="F187" s="157"/>
      <c r="G187" s="157">
        <f>COUNTIF(E176:E177,"*Z*")</f>
        <v>0</v>
      </c>
      <c r="J187" s="175"/>
      <c r="K187" s="175"/>
      <c r="M187" s="176"/>
      <c r="N187" s="177"/>
      <c r="O187" s="177"/>
      <c r="P187" s="178"/>
      <c r="Q187" s="204"/>
      <c r="R187" s="174"/>
    </row>
    <row r="188" spans="1:18" s="172" customFormat="1" x14ac:dyDescent="0.3">
      <c r="A188" s="171"/>
      <c r="C188" s="183"/>
      <c r="D188" s="183"/>
      <c r="J188" s="175"/>
      <c r="K188" s="175"/>
      <c r="M188" s="176"/>
      <c r="N188" s="177"/>
      <c r="O188" s="177"/>
      <c r="P188" s="178"/>
      <c r="Q188" s="204"/>
      <c r="R188" s="174"/>
    </row>
    <row r="189" spans="1:18" s="172" customFormat="1" x14ac:dyDescent="0.3">
      <c r="A189" s="179" t="s">
        <v>182</v>
      </c>
      <c r="G189" s="173"/>
      <c r="J189" s="175"/>
      <c r="K189" s="175"/>
      <c r="M189" s="176"/>
      <c r="N189" s="177"/>
      <c r="O189" s="177"/>
      <c r="P189" s="178"/>
      <c r="Q189" s="204"/>
      <c r="R189" s="174"/>
    </row>
    <row r="190" spans="1:18" s="172" customFormat="1" x14ac:dyDescent="0.3">
      <c r="A190" s="171"/>
      <c r="C190" s="183"/>
      <c r="D190" s="183"/>
      <c r="J190" s="175"/>
      <c r="K190" s="175"/>
      <c r="M190" s="176"/>
      <c r="N190" s="177"/>
      <c r="O190" s="177"/>
      <c r="P190" s="178"/>
      <c r="Q190" s="204"/>
      <c r="R190" s="174"/>
    </row>
    <row r="191" spans="1:18" s="172" customFormat="1" x14ac:dyDescent="0.3">
      <c r="A191" s="171"/>
      <c r="C191" s="183"/>
      <c r="D191" s="183"/>
      <c r="J191" s="175"/>
      <c r="K191" s="175"/>
      <c r="M191" s="176"/>
      <c r="N191" s="177"/>
      <c r="O191" s="177"/>
      <c r="P191" s="178"/>
      <c r="Q191" s="204"/>
      <c r="R191" s="174"/>
    </row>
    <row r="192" spans="1:18" s="172" customFormat="1" x14ac:dyDescent="0.3">
      <c r="A192" s="171"/>
      <c r="C192" s="183"/>
      <c r="D192" s="183"/>
      <c r="J192" s="175"/>
      <c r="K192" s="175"/>
      <c r="M192" s="176"/>
      <c r="N192" s="177"/>
      <c r="O192" s="177"/>
      <c r="P192" s="178"/>
      <c r="Q192" s="204"/>
      <c r="R192" s="174"/>
    </row>
    <row r="193" spans="1:18" s="172" customFormat="1" x14ac:dyDescent="0.3">
      <c r="A193" s="171"/>
      <c r="C193" s="69" t="s">
        <v>140</v>
      </c>
      <c r="D193" s="69"/>
      <c r="E193" s="157"/>
      <c r="F193" s="157"/>
      <c r="G193" s="157">
        <f>COUNTIF(S190:S192,"*áno*")</f>
        <v>0</v>
      </c>
      <c r="J193" s="175"/>
      <c r="K193" s="175"/>
      <c r="M193" s="176"/>
      <c r="N193" s="177"/>
      <c r="O193" s="177"/>
      <c r="P193" s="178"/>
      <c r="Q193" s="204"/>
      <c r="R193" s="174"/>
    </row>
    <row r="194" spans="1:18" s="172" customFormat="1" x14ac:dyDescent="0.3">
      <c r="A194" s="171"/>
      <c r="C194" s="69" t="s">
        <v>141</v>
      </c>
      <c r="D194" s="69"/>
      <c r="E194" s="157"/>
      <c r="F194" s="157"/>
      <c r="G194" s="157">
        <f>COUNTIF(E190:E192,"*w*")</f>
        <v>0</v>
      </c>
      <c r="J194" s="175"/>
      <c r="K194" s="175"/>
      <c r="M194" s="176"/>
      <c r="N194" s="177"/>
      <c r="O194" s="177"/>
      <c r="P194" s="178"/>
      <c r="Q194" s="204"/>
      <c r="R194" s="174"/>
    </row>
    <row r="195" spans="1:18" s="172" customFormat="1" x14ac:dyDescent="0.3">
      <c r="A195" s="171"/>
      <c r="C195" s="69" t="s">
        <v>142</v>
      </c>
      <c r="D195" s="69"/>
      <c r="E195" s="157"/>
      <c r="F195" s="157"/>
      <c r="G195" s="157">
        <f>COUNTIF(E190:E192,"*P*")</f>
        <v>0</v>
      </c>
      <c r="J195" s="175"/>
      <c r="K195" s="175"/>
      <c r="M195" s="176"/>
      <c r="N195" s="177"/>
      <c r="O195" s="177"/>
      <c r="P195" s="178"/>
      <c r="Q195" s="204"/>
      <c r="R195" s="174"/>
    </row>
    <row r="196" spans="1:18" s="172" customFormat="1" x14ac:dyDescent="0.3">
      <c r="A196" s="171"/>
      <c r="C196" s="69" t="s">
        <v>143</v>
      </c>
      <c r="D196" s="69"/>
      <c r="E196" s="157"/>
      <c r="F196" s="157"/>
      <c r="G196" s="157">
        <f>COUNTIF(E190:E192,"*L*")</f>
        <v>0</v>
      </c>
      <c r="J196" s="175"/>
      <c r="K196" s="175"/>
      <c r="M196" s="176"/>
      <c r="N196" s="177"/>
      <c r="O196" s="177"/>
      <c r="P196" s="178"/>
      <c r="Q196" s="204"/>
      <c r="R196" s="174"/>
    </row>
    <row r="197" spans="1:18" s="172" customFormat="1" x14ac:dyDescent="0.3">
      <c r="A197" s="171"/>
      <c r="C197" s="69" t="s">
        <v>144</v>
      </c>
      <c r="D197" s="69"/>
      <c r="E197" s="157"/>
      <c r="F197" s="157"/>
      <c r="G197" s="157">
        <f>COUNTIF(E190:E192,"*V*")</f>
        <v>0</v>
      </c>
      <c r="J197" s="175"/>
      <c r="K197" s="175"/>
      <c r="M197" s="176"/>
      <c r="N197" s="177"/>
      <c r="O197" s="177"/>
      <c r="P197" s="178"/>
      <c r="Q197" s="204"/>
      <c r="R197" s="174"/>
    </row>
    <row r="198" spans="1:18" s="172" customFormat="1" x14ac:dyDescent="0.3">
      <c r="A198" s="171"/>
      <c r="C198" s="69"/>
      <c r="D198" s="69"/>
      <c r="E198" s="157"/>
      <c r="F198" s="157"/>
      <c r="G198" s="157"/>
      <c r="J198" s="175"/>
      <c r="K198" s="175"/>
      <c r="M198" s="176"/>
      <c r="N198" s="177"/>
      <c r="O198" s="177"/>
      <c r="P198" s="178"/>
      <c r="Q198" s="204"/>
      <c r="R198" s="174"/>
    </row>
    <row r="199" spans="1:18" s="172" customFormat="1" x14ac:dyDescent="0.3">
      <c r="A199" s="171"/>
      <c r="C199" s="69" t="s">
        <v>145</v>
      </c>
      <c r="D199" s="69"/>
      <c r="E199" s="157"/>
      <c r="F199" s="157"/>
      <c r="G199" s="157">
        <f>COUNTIF(E190:E192,"*D*")</f>
        <v>0</v>
      </c>
      <c r="J199" s="175"/>
      <c r="K199" s="175"/>
      <c r="M199" s="176"/>
      <c r="N199" s="177"/>
      <c r="O199" s="177"/>
      <c r="P199" s="178"/>
      <c r="Q199" s="204"/>
      <c r="R199" s="174"/>
    </row>
    <row r="200" spans="1:18" s="172" customFormat="1" x14ac:dyDescent="0.3">
      <c r="A200" s="171"/>
      <c r="C200" s="69" t="s">
        <v>146</v>
      </c>
      <c r="D200" s="69"/>
      <c r="E200" s="157"/>
      <c r="F200" s="157"/>
      <c r="G200" s="157">
        <f>COUNTIF(E190:E192,"*S*")</f>
        <v>0</v>
      </c>
      <c r="J200" s="175"/>
      <c r="K200" s="175"/>
      <c r="M200" s="176"/>
      <c r="N200" s="177"/>
      <c r="O200" s="177"/>
      <c r="P200" s="178"/>
      <c r="Q200" s="204"/>
      <c r="R200" s="174"/>
    </row>
    <row r="201" spans="1:18" s="172" customFormat="1" x14ac:dyDescent="0.3">
      <c r="A201" s="171"/>
      <c r="C201" s="69" t="s">
        <v>147</v>
      </c>
      <c r="D201" s="69"/>
      <c r="E201" s="157"/>
      <c r="F201" s="157"/>
      <c r="G201" s="157">
        <f>COUNTIF(E190:E192,"*K*")</f>
        <v>0</v>
      </c>
      <c r="J201" s="175"/>
      <c r="K201" s="175"/>
      <c r="M201" s="176"/>
      <c r="N201" s="177"/>
      <c r="O201" s="177"/>
      <c r="P201" s="178"/>
      <c r="Q201" s="204"/>
      <c r="R201" s="174"/>
    </row>
    <row r="202" spans="1:18" s="172" customFormat="1" x14ac:dyDescent="0.3">
      <c r="A202" s="171"/>
      <c r="C202" s="69" t="s">
        <v>148</v>
      </c>
      <c r="D202" s="69"/>
      <c r="E202" s="157"/>
      <c r="F202" s="157"/>
      <c r="G202" s="157">
        <f>COUNTIF(E190:E192,"*Z*")</f>
        <v>0</v>
      </c>
      <c r="J202" s="175"/>
      <c r="K202" s="175"/>
      <c r="M202" s="176"/>
      <c r="N202" s="177"/>
      <c r="O202" s="177"/>
      <c r="P202" s="178"/>
      <c r="Q202" s="204"/>
      <c r="R202" s="174"/>
    </row>
    <row r="203" spans="1:18" s="172" customFormat="1" x14ac:dyDescent="0.3">
      <c r="A203" s="171"/>
      <c r="C203" s="183"/>
      <c r="D203" s="183"/>
      <c r="J203" s="175"/>
      <c r="K203" s="175"/>
      <c r="M203" s="176"/>
      <c r="N203" s="177"/>
      <c r="O203" s="177"/>
      <c r="P203" s="178"/>
      <c r="Q203" s="204"/>
      <c r="R203" s="174"/>
    </row>
    <row r="204" spans="1:18" s="172" customFormat="1" x14ac:dyDescent="0.3">
      <c r="A204" s="179" t="s">
        <v>189</v>
      </c>
      <c r="G204" s="173"/>
      <c r="J204" s="175"/>
      <c r="K204" s="175"/>
      <c r="M204" s="176"/>
      <c r="N204" s="177"/>
      <c r="O204" s="177"/>
      <c r="P204" s="178"/>
      <c r="Q204" s="204"/>
      <c r="R204" s="174"/>
    </row>
    <row r="205" spans="1:18" s="172" customFormat="1" x14ac:dyDescent="0.3">
      <c r="A205" s="171"/>
      <c r="C205" s="183"/>
      <c r="D205" s="183"/>
      <c r="J205" s="175"/>
      <c r="K205" s="175"/>
      <c r="M205" s="176"/>
      <c r="N205" s="177"/>
      <c r="O205" s="177"/>
      <c r="P205" s="178"/>
      <c r="Q205" s="204"/>
      <c r="R205" s="174"/>
    </row>
    <row r="206" spans="1:18" s="172" customFormat="1" x14ac:dyDescent="0.3">
      <c r="A206" s="171"/>
      <c r="C206" s="183"/>
      <c r="D206" s="183"/>
      <c r="J206" s="175"/>
      <c r="K206" s="175"/>
      <c r="M206" s="176"/>
      <c r="N206" s="177"/>
      <c r="O206" s="177"/>
      <c r="P206" s="178"/>
      <c r="Q206" s="204"/>
      <c r="R206" s="174"/>
    </row>
    <row r="207" spans="1:18" s="172" customFormat="1" x14ac:dyDescent="0.3">
      <c r="A207" s="171"/>
      <c r="C207" s="183"/>
      <c r="D207" s="183"/>
      <c r="J207" s="175"/>
      <c r="K207" s="175"/>
      <c r="M207" s="176"/>
      <c r="N207" s="177"/>
      <c r="O207" s="177"/>
      <c r="P207" s="178"/>
      <c r="Q207" s="204"/>
      <c r="R207" s="174"/>
    </row>
    <row r="208" spans="1:18" s="172" customFormat="1" x14ac:dyDescent="0.3">
      <c r="A208" s="171"/>
      <c r="C208" s="69" t="s">
        <v>140</v>
      </c>
      <c r="D208" s="69"/>
      <c r="E208" s="157"/>
      <c r="F208" s="157"/>
      <c r="G208" s="157">
        <f>COUNTIF(S205:S207,"*áno*")</f>
        <v>0</v>
      </c>
      <c r="J208" s="175"/>
      <c r="K208" s="175"/>
      <c r="M208" s="176"/>
      <c r="N208" s="177"/>
      <c r="O208" s="177"/>
      <c r="P208" s="178"/>
      <c r="Q208" s="204"/>
      <c r="R208" s="174"/>
    </row>
    <row r="209" spans="1:18" s="172" customFormat="1" x14ac:dyDescent="0.3">
      <c r="A209" s="171"/>
      <c r="C209" s="69" t="s">
        <v>141</v>
      </c>
      <c r="D209" s="69"/>
      <c r="E209" s="157"/>
      <c r="F209" s="157"/>
      <c r="G209" s="157">
        <f>COUNTIF(E205:E207,"*w*")</f>
        <v>0</v>
      </c>
      <c r="J209" s="175"/>
      <c r="K209" s="175"/>
      <c r="M209" s="176"/>
      <c r="N209" s="177"/>
      <c r="O209" s="177"/>
      <c r="P209" s="178"/>
      <c r="Q209" s="204"/>
      <c r="R209" s="174"/>
    </row>
    <row r="210" spans="1:18" s="172" customFormat="1" x14ac:dyDescent="0.3">
      <c r="A210" s="171"/>
      <c r="C210" s="69" t="s">
        <v>142</v>
      </c>
      <c r="D210" s="69"/>
      <c r="E210" s="157"/>
      <c r="F210" s="157"/>
      <c r="G210" s="157">
        <f>COUNTIF(E205:E207,"*P*")</f>
        <v>0</v>
      </c>
      <c r="J210" s="175"/>
      <c r="K210" s="175"/>
      <c r="M210" s="176"/>
      <c r="N210" s="177"/>
      <c r="O210" s="177"/>
      <c r="P210" s="178"/>
      <c r="Q210" s="204"/>
      <c r="R210" s="174"/>
    </row>
    <row r="211" spans="1:18" s="172" customFormat="1" x14ac:dyDescent="0.3">
      <c r="A211" s="171"/>
      <c r="C211" s="69" t="s">
        <v>143</v>
      </c>
      <c r="D211" s="69"/>
      <c r="E211" s="157"/>
      <c r="F211" s="157"/>
      <c r="G211" s="157">
        <f>COUNTIF(E205:E207,"*L*")</f>
        <v>0</v>
      </c>
      <c r="J211" s="175"/>
      <c r="K211" s="175"/>
      <c r="M211" s="176"/>
      <c r="N211" s="177"/>
      <c r="O211" s="177"/>
      <c r="P211" s="178"/>
      <c r="Q211" s="204"/>
      <c r="R211" s="174"/>
    </row>
    <row r="212" spans="1:18" s="172" customFormat="1" x14ac:dyDescent="0.3">
      <c r="A212" s="171"/>
      <c r="C212" s="69" t="s">
        <v>144</v>
      </c>
      <c r="D212" s="69"/>
      <c r="E212" s="157"/>
      <c r="F212" s="157"/>
      <c r="G212" s="157">
        <f>COUNTIF(E205:E207,"*V*")</f>
        <v>0</v>
      </c>
      <c r="J212" s="175"/>
      <c r="K212" s="175"/>
      <c r="M212" s="176"/>
      <c r="N212" s="177"/>
      <c r="O212" s="177"/>
      <c r="P212" s="178"/>
      <c r="Q212" s="204"/>
      <c r="R212" s="174"/>
    </row>
    <row r="213" spans="1:18" s="172" customFormat="1" x14ac:dyDescent="0.3">
      <c r="A213" s="171"/>
      <c r="C213" s="69"/>
      <c r="D213" s="69"/>
      <c r="E213" s="157"/>
      <c r="F213" s="157"/>
      <c r="G213" s="157"/>
      <c r="J213" s="175"/>
      <c r="K213" s="175"/>
      <c r="M213" s="176"/>
      <c r="N213" s="177"/>
      <c r="O213" s="177"/>
      <c r="P213" s="178"/>
      <c r="Q213" s="204"/>
      <c r="R213" s="174"/>
    </row>
    <row r="214" spans="1:18" s="172" customFormat="1" x14ac:dyDescent="0.3">
      <c r="A214" s="171"/>
      <c r="C214" s="69" t="s">
        <v>145</v>
      </c>
      <c r="D214" s="69"/>
      <c r="E214" s="157"/>
      <c r="F214" s="157"/>
      <c r="G214" s="157">
        <f>COUNTIF(E205:E207,"*D*")</f>
        <v>0</v>
      </c>
      <c r="J214" s="175"/>
      <c r="K214" s="175"/>
      <c r="M214" s="176"/>
      <c r="N214" s="177"/>
      <c r="O214" s="177"/>
      <c r="P214" s="178"/>
      <c r="Q214" s="204"/>
      <c r="R214" s="174"/>
    </row>
    <row r="215" spans="1:18" s="172" customFormat="1" x14ac:dyDescent="0.3">
      <c r="A215" s="171"/>
      <c r="C215" s="69" t="s">
        <v>146</v>
      </c>
      <c r="D215" s="69"/>
      <c r="E215" s="157"/>
      <c r="F215" s="157"/>
      <c r="G215" s="157">
        <f>COUNTIF(E205:E207,"*S*")</f>
        <v>0</v>
      </c>
      <c r="J215" s="175"/>
      <c r="K215" s="175"/>
      <c r="M215" s="176"/>
      <c r="N215" s="177"/>
      <c r="O215" s="177"/>
      <c r="P215" s="178"/>
      <c r="Q215" s="204"/>
      <c r="R215" s="174"/>
    </row>
    <row r="216" spans="1:18" s="172" customFormat="1" x14ac:dyDescent="0.3">
      <c r="A216" s="171"/>
      <c r="C216" s="69" t="s">
        <v>147</v>
      </c>
      <c r="D216" s="69"/>
      <c r="E216" s="157"/>
      <c r="F216" s="157"/>
      <c r="G216" s="157">
        <f>COUNTIF(E205:E207,"*K*")</f>
        <v>0</v>
      </c>
      <c r="J216" s="175"/>
      <c r="K216" s="175"/>
      <c r="M216" s="176"/>
      <c r="N216" s="177"/>
      <c r="O216" s="177"/>
      <c r="P216" s="178"/>
      <c r="Q216" s="204"/>
      <c r="R216" s="174"/>
    </row>
    <row r="217" spans="1:18" s="172" customFormat="1" x14ac:dyDescent="0.3">
      <c r="A217" s="171"/>
      <c r="C217" s="69" t="s">
        <v>148</v>
      </c>
      <c r="D217" s="69"/>
      <c r="E217" s="157"/>
      <c r="F217" s="157"/>
      <c r="G217" s="157">
        <f>COUNTIF(E205:E207,"*Z*")</f>
        <v>0</v>
      </c>
      <c r="J217" s="175"/>
      <c r="K217" s="175"/>
      <c r="M217" s="176"/>
      <c r="N217" s="177"/>
      <c r="O217" s="177"/>
      <c r="P217" s="178"/>
      <c r="Q217" s="204"/>
      <c r="R217" s="174"/>
    </row>
    <row r="218" spans="1:18" s="172" customFormat="1" x14ac:dyDescent="0.3">
      <c r="A218" s="171"/>
      <c r="C218" s="183"/>
      <c r="D218" s="183"/>
      <c r="J218" s="175"/>
      <c r="K218" s="175"/>
      <c r="M218" s="176"/>
      <c r="N218" s="177"/>
      <c r="O218" s="177"/>
      <c r="P218" s="178"/>
      <c r="Q218" s="204"/>
      <c r="R218" s="174"/>
    </row>
    <row r="219" spans="1:18" s="172" customFormat="1" ht="15" thickBot="1" x14ac:dyDescent="0.35">
      <c r="A219" s="171"/>
      <c r="G219" s="173"/>
      <c r="J219" s="175"/>
      <c r="K219" s="175"/>
      <c r="M219" s="176"/>
      <c r="N219" s="177"/>
      <c r="O219" s="177"/>
      <c r="P219" s="178"/>
      <c r="Q219" s="204"/>
      <c r="R219" s="174"/>
    </row>
    <row r="220" spans="1:18" s="105" customFormat="1" ht="15" thickBot="1" x14ac:dyDescent="0.35">
      <c r="A220" s="181"/>
      <c r="R220" s="205"/>
    </row>
    <row r="222" spans="1:18" x14ac:dyDescent="0.3">
      <c r="A222" s="182" t="s">
        <v>77</v>
      </c>
      <c r="C222" s="69" t="s">
        <v>140</v>
      </c>
      <c r="D222" s="69"/>
      <c r="G222" s="157">
        <f>COUNTIF(S33:S219,"*áno*")</f>
        <v>45</v>
      </c>
    </row>
    <row r="223" spans="1:18" x14ac:dyDescent="0.3">
      <c r="A223" s="182"/>
      <c r="C223" s="69" t="s">
        <v>141</v>
      </c>
      <c r="D223" s="69"/>
      <c r="G223" s="157">
        <f>COUNTIF(E33:E219,"*w*")</f>
        <v>34</v>
      </c>
    </row>
    <row r="224" spans="1:18" x14ac:dyDescent="0.3">
      <c r="A224" s="182"/>
      <c r="C224" s="69" t="s">
        <v>142</v>
      </c>
      <c r="D224" s="69"/>
      <c r="G224" s="157">
        <f>COUNTIF(E33:E219,"*P*")</f>
        <v>25</v>
      </c>
    </row>
    <row r="225" spans="1:48" x14ac:dyDescent="0.3">
      <c r="A225" s="182"/>
      <c r="C225" s="69" t="s">
        <v>143</v>
      </c>
      <c r="D225" s="69"/>
      <c r="G225" s="157">
        <f>COUNTIF(E33:E219,"*L*")</f>
        <v>3</v>
      </c>
    </row>
    <row r="226" spans="1:48" x14ac:dyDescent="0.3">
      <c r="A226" s="182"/>
      <c r="C226" s="69" t="s">
        <v>144</v>
      </c>
      <c r="D226" s="69"/>
      <c r="G226" s="157">
        <f>COUNTIF(E33:E219,"*V*")</f>
        <v>17</v>
      </c>
    </row>
    <row r="227" spans="1:48" x14ac:dyDescent="0.3">
      <c r="A227" s="182"/>
      <c r="C227" s="69"/>
      <c r="D227" s="69"/>
    </row>
    <row r="228" spans="1:48" x14ac:dyDescent="0.3">
      <c r="A228" s="69"/>
      <c r="C228" s="69" t="s">
        <v>145</v>
      </c>
      <c r="D228" s="69"/>
      <c r="G228" s="157">
        <f>COUNTIF(E33:E219,"*D*")</f>
        <v>42</v>
      </c>
    </row>
    <row r="229" spans="1:48" x14ac:dyDescent="0.3">
      <c r="A229" s="69"/>
      <c r="C229" s="69" t="s">
        <v>146</v>
      </c>
      <c r="D229" s="69"/>
      <c r="G229" s="157">
        <f>COUNTIF(E33:E219,"*S*")</f>
        <v>0</v>
      </c>
    </row>
    <row r="230" spans="1:48" x14ac:dyDescent="0.3">
      <c r="A230" s="69"/>
      <c r="C230" s="69" t="s">
        <v>147</v>
      </c>
      <c r="D230" s="69"/>
      <c r="G230" s="157">
        <f>COUNTIF(E33:E219,"*K*")</f>
        <v>5</v>
      </c>
    </row>
    <row r="231" spans="1:48" x14ac:dyDescent="0.3">
      <c r="A231" s="183"/>
      <c r="C231" s="69" t="s">
        <v>148</v>
      </c>
      <c r="D231" s="69"/>
      <c r="G231" s="157">
        <f>COUNTIF(E33:E219,"*Z*")</f>
        <v>39</v>
      </c>
    </row>
    <row r="233" spans="1:48" s="184" customFormat="1" ht="15" customHeight="1" x14ac:dyDescent="0.3">
      <c r="A233" s="481" t="s">
        <v>149</v>
      </c>
      <c r="B233" s="482"/>
      <c r="C233" s="507" t="s">
        <v>48</v>
      </c>
      <c r="D233" s="508"/>
      <c r="E233" s="509"/>
      <c r="F233" s="487" t="s">
        <v>150</v>
      </c>
      <c r="G233" s="488"/>
      <c r="H233" s="489" t="s">
        <v>45</v>
      </c>
      <c r="I233" s="490"/>
      <c r="J233" s="491" t="s">
        <v>46</v>
      </c>
      <c r="K233" s="492"/>
      <c r="L233" s="493" t="s">
        <v>47</v>
      </c>
      <c r="M233" s="494"/>
      <c r="N233" s="477" t="s">
        <v>151</v>
      </c>
      <c r="O233" s="478"/>
      <c r="P233" s="479" t="s">
        <v>152</v>
      </c>
      <c r="Q233" s="480"/>
      <c r="R233" s="206"/>
    </row>
    <row r="234" spans="1:48" s="182" customFormat="1" ht="15" customHeight="1" x14ac:dyDescent="0.3">
      <c r="A234" s="481" t="s">
        <v>153</v>
      </c>
      <c r="B234" s="482"/>
      <c r="C234" s="485" t="s">
        <v>154</v>
      </c>
      <c r="D234" s="504"/>
      <c r="E234" s="486"/>
      <c r="F234" s="487" t="s">
        <v>155</v>
      </c>
      <c r="G234" s="488"/>
      <c r="H234" s="489" t="s">
        <v>156</v>
      </c>
      <c r="I234" s="490"/>
      <c r="J234" s="491" t="s">
        <v>157</v>
      </c>
      <c r="K234" s="492"/>
      <c r="L234" s="493" t="s">
        <v>158</v>
      </c>
      <c r="M234" s="494"/>
      <c r="N234" s="477" t="s">
        <v>159</v>
      </c>
      <c r="O234" s="478"/>
      <c r="P234" s="479" t="s">
        <v>160</v>
      </c>
      <c r="Q234" s="480"/>
      <c r="R234" s="207"/>
      <c r="S234" s="78"/>
      <c r="AI234" s="185"/>
      <c r="AJ234" s="185"/>
      <c r="AK234" s="185"/>
      <c r="AL234" s="185"/>
      <c r="AM234" s="185"/>
      <c r="AN234" s="185"/>
      <c r="AO234" s="185"/>
      <c r="AP234" s="185"/>
      <c r="AQ234" s="185"/>
      <c r="AR234" s="185"/>
      <c r="AS234" s="185"/>
    </row>
    <row r="235" spans="1:48" s="182" customFormat="1" x14ac:dyDescent="0.3">
      <c r="A235" s="481" t="s">
        <v>49</v>
      </c>
      <c r="B235" s="482"/>
      <c r="C235" s="131" t="s">
        <v>78</v>
      </c>
      <c r="D235" s="386"/>
      <c r="E235" s="485" t="s">
        <v>51</v>
      </c>
      <c r="F235" s="486"/>
      <c r="G235" s="487" t="s">
        <v>52</v>
      </c>
      <c r="H235" s="488"/>
      <c r="I235" s="489" t="s">
        <v>53</v>
      </c>
      <c r="J235" s="490"/>
      <c r="K235" s="495" t="s">
        <v>54</v>
      </c>
      <c r="L235" s="496"/>
      <c r="M235" s="491" t="s">
        <v>55</v>
      </c>
      <c r="N235" s="492"/>
      <c r="O235" s="493" t="s">
        <v>56</v>
      </c>
      <c r="P235" s="494"/>
      <c r="Q235" s="477" t="s">
        <v>57</v>
      </c>
      <c r="R235" s="478"/>
      <c r="S235" s="132" t="s">
        <v>58</v>
      </c>
      <c r="AI235" s="185"/>
      <c r="AJ235" s="185"/>
      <c r="AK235" s="185"/>
      <c r="AL235" s="185"/>
      <c r="AM235" s="185"/>
      <c r="AN235" s="185"/>
      <c r="AO235" s="185"/>
      <c r="AP235" s="185"/>
      <c r="AQ235" s="185"/>
      <c r="AR235" s="185"/>
      <c r="AS235" s="185"/>
      <c r="AT235" s="185"/>
      <c r="AU235" s="185"/>
    </row>
    <row r="236" spans="1:48" s="182" customFormat="1" x14ac:dyDescent="0.3">
      <c r="A236" s="481" t="s">
        <v>50</v>
      </c>
      <c r="B236" s="482"/>
      <c r="C236" s="131" t="s">
        <v>79</v>
      </c>
      <c r="D236" s="386"/>
      <c r="E236" s="485" t="s">
        <v>59</v>
      </c>
      <c r="F236" s="486"/>
      <c r="G236" s="487" t="s">
        <v>60</v>
      </c>
      <c r="H236" s="488"/>
      <c r="I236" s="489" t="s">
        <v>61</v>
      </c>
      <c r="J236" s="490"/>
      <c r="K236" s="491" t="s">
        <v>62</v>
      </c>
      <c r="L236" s="492"/>
      <c r="M236" s="493" t="s">
        <v>82</v>
      </c>
      <c r="N236" s="494"/>
      <c r="O236" s="477" t="s">
        <v>83</v>
      </c>
      <c r="P236" s="478"/>
      <c r="Q236" s="479" t="s">
        <v>81</v>
      </c>
      <c r="R236" s="480"/>
      <c r="S236" s="78"/>
      <c r="AI236" s="185"/>
      <c r="AJ236" s="185"/>
      <c r="AK236" s="185"/>
      <c r="AL236" s="185"/>
      <c r="AM236" s="185"/>
      <c r="AN236" s="185"/>
      <c r="AO236" s="185"/>
      <c r="AP236" s="185"/>
      <c r="AQ236" s="185"/>
    </row>
    <row r="237" spans="1:48" s="182" customFormat="1" x14ac:dyDescent="0.3">
      <c r="A237" s="481" t="s">
        <v>71</v>
      </c>
      <c r="B237" s="482"/>
      <c r="C237" s="131" t="s">
        <v>78</v>
      </c>
      <c r="D237" s="386"/>
      <c r="E237" s="485" t="s">
        <v>52</v>
      </c>
      <c r="F237" s="486"/>
      <c r="G237" s="487" t="s">
        <v>53</v>
      </c>
      <c r="H237" s="488"/>
      <c r="I237" s="489" t="s">
        <v>72</v>
      </c>
      <c r="J237" s="490"/>
      <c r="K237" s="491" t="s">
        <v>73</v>
      </c>
      <c r="L237" s="492"/>
      <c r="M237" s="493" t="s">
        <v>75</v>
      </c>
      <c r="N237" s="494"/>
      <c r="O237" s="477" t="s">
        <v>74</v>
      </c>
      <c r="P237" s="478"/>
      <c r="Q237" s="479" t="s">
        <v>76</v>
      </c>
      <c r="R237" s="480"/>
      <c r="S237" s="78"/>
      <c r="AI237" s="185"/>
      <c r="AJ237" s="185"/>
      <c r="AK237" s="185"/>
      <c r="AL237" s="185"/>
      <c r="AM237" s="185"/>
      <c r="AN237" s="185"/>
      <c r="AO237" s="185"/>
      <c r="AP237" s="185"/>
      <c r="AQ237" s="185"/>
      <c r="AR237" s="185"/>
      <c r="AS237" s="185"/>
      <c r="AT237" s="185"/>
      <c r="AU237" s="185"/>
      <c r="AV237" s="185"/>
    </row>
    <row r="238" spans="1:48" s="182" customFormat="1" x14ac:dyDescent="0.3">
      <c r="A238" s="481" t="s">
        <v>70</v>
      </c>
      <c r="B238" s="482"/>
      <c r="C238" s="131" t="s">
        <v>80</v>
      </c>
      <c r="D238" s="386"/>
      <c r="E238" s="483" t="s">
        <v>63</v>
      </c>
      <c r="F238" s="484"/>
      <c r="G238" s="485" t="s">
        <v>64</v>
      </c>
      <c r="H238" s="486"/>
      <c r="I238" s="487" t="s">
        <v>65</v>
      </c>
      <c r="J238" s="488"/>
      <c r="K238" s="489" t="s">
        <v>161</v>
      </c>
      <c r="L238" s="490"/>
      <c r="M238" s="491" t="s">
        <v>66</v>
      </c>
      <c r="N238" s="492"/>
      <c r="O238" s="493" t="s">
        <v>67</v>
      </c>
      <c r="P238" s="494"/>
      <c r="Q238" s="477" t="s">
        <v>68</v>
      </c>
      <c r="R238" s="478"/>
      <c r="S238" s="130" t="s">
        <v>69</v>
      </c>
      <c r="AI238" s="185"/>
      <c r="AJ238" s="185"/>
      <c r="AK238" s="185"/>
      <c r="AL238" s="185"/>
      <c r="AM238" s="185"/>
      <c r="AN238" s="185"/>
      <c r="AO238" s="185"/>
      <c r="AP238" s="185"/>
      <c r="AQ238" s="185"/>
      <c r="AR238" s="185"/>
      <c r="AS238" s="185"/>
    </row>
    <row r="239" spans="1:48" s="184" customFormat="1" ht="15" customHeight="1" x14ac:dyDescent="0.3">
      <c r="A239" s="459" t="s">
        <v>162</v>
      </c>
      <c r="B239" s="460"/>
      <c r="C239" s="186" t="s">
        <v>163</v>
      </c>
      <c r="D239" s="387"/>
      <c r="E239" s="471" t="s">
        <v>164</v>
      </c>
      <c r="F239" s="472"/>
      <c r="G239" s="473" t="s">
        <v>165</v>
      </c>
      <c r="H239" s="474"/>
      <c r="I239" s="475" t="s">
        <v>166</v>
      </c>
      <c r="J239" s="476"/>
      <c r="K239" s="461" t="s">
        <v>167</v>
      </c>
      <c r="L239" s="462"/>
      <c r="M239" s="463" t="s">
        <v>168</v>
      </c>
      <c r="N239" s="464"/>
      <c r="O239" s="455" t="s">
        <v>169</v>
      </c>
      <c r="P239" s="456"/>
      <c r="Q239" s="457" t="s">
        <v>170</v>
      </c>
      <c r="R239" s="458"/>
    </row>
    <row r="240" spans="1:48" ht="15" customHeight="1" x14ac:dyDescent="0.3">
      <c r="A240" s="459" t="s">
        <v>132</v>
      </c>
      <c r="B240" s="460"/>
      <c r="C240" s="187" t="s">
        <v>171</v>
      </c>
      <c r="D240" s="385"/>
      <c r="E240" s="461" t="s">
        <v>172</v>
      </c>
      <c r="F240" s="462"/>
      <c r="G240" s="463" t="s">
        <v>173</v>
      </c>
      <c r="H240" s="464"/>
      <c r="I240" s="455" t="s">
        <v>174</v>
      </c>
      <c r="J240" s="456"/>
      <c r="K240" s="457" t="s">
        <v>175</v>
      </c>
      <c r="L240" s="458"/>
      <c r="M240" s="465" t="s">
        <v>176</v>
      </c>
      <c r="N240" s="466"/>
      <c r="O240" s="467" t="s">
        <v>177</v>
      </c>
      <c r="P240" s="468"/>
      <c r="Q240" s="469" t="s">
        <v>178</v>
      </c>
      <c r="R240" s="470"/>
    </row>
  </sheetData>
  <mergeCells count="75">
    <mergeCell ref="T1:T2"/>
    <mergeCell ref="A233:B233"/>
    <mergeCell ref="C233:E233"/>
    <mergeCell ref="F233:G233"/>
    <mergeCell ref="H233:I233"/>
    <mergeCell ref="J233:K233"/>
    <mergeCell ref="L233:M233"/>
    <mergeCell ref="N233:O233"/>
    <mergeCell ref="A1:A2"/>
    <mergeCell ref="B1:B2"/>
    <mergeCell ref="E1:G1"/>
    <mergeCell ref="J1:L1"/>
    <mergeCell ref="H1:I1"/>
    <mergeCell ref="P233:Q233"/>
    <mergeCell ref="C1:D1"/>
    <mergeCell ref="Q140:Q141"/>
    <mergeCell ref="A234:B234"/>
    <mergeCell ref="C234:E234"/>
    <mergeCell ref="F234:G234"/>
    <mergeCell ref="H234:I234"/>
    <mergeCell ref="J234:K234"/>
    <mergeCell ref="L234:M234"/>
    <mergeCell ref="N234:O234"/>
    <mergeCell ref="P234:Q234"/>
    <mergeCell ref="M1:P1"/>
    <mergeCell ref="Q1:S1"/>
    <mergeCell ref="R140:R141"/>
    <mergeCell ref="O235:P235"/>
    <mergeCell ref="Q235:R235"/>
    <mergeCell ref="A236:B236"/>
    <mergeCell ref="E236:F236"/>
    <mergeCell ref="G236:H236"/>
    <mergeCell ref="I236:J236"/>
    <mergeCell ref="K236:L236"/>
    <mergeCell ref="M236:N236"/>
    <mergeCell ref="O236:P236"/>
    <mergeCell ref="Q236:R236"/>
    <mergeCell ref="A235:B235"/>
    <mergeCell ref="E235:F235"/>
    <mergeCell ref="G235:H235"/>
    <mergeCell ref="I235:J235"/>
    <mergeCell ref="K235:L235"/>
    <mergeCell ref="M235:N235"/>
    <mergeCell ref="O237:P237"/>
    <mergeCell ref="Q237:R237"/>
    <mergeCell ref="A238:B238"/>
    <mergeCell ref="E238:F238"/>
    <mergeCell ref="G238:H238"/>
    <mergeCell ref="I238:J238"/>
    <mergeCell ref="K238:L238"/>
    <mergeCell ref="M238:N238"/>
    <mergeCell ref="O238:P238"/>
    <mergeCell ref="Q238:R238"/>
    <mergeCell ref="A237:B237"/>
    <mergeCell ref="E237:F237"/>
    <mergeCell ref="G237:H237"/>
    <mergeCell ref="I237:J237"/>
    <mergeCell ref="K237:L237"/>
    <mergeCell ref="M237:N237"/>
    <mergeCell ref="O239:P239"/>
    <mergeCell ref="Q239:R239"/>
    <mergeCell ref="A240:B240"/>
    <mergeCell ref="E240:F240"/>
    <mergeCell ref="G240:H240"/>
    <mergeCell ref="I240:J240"/>
    <mergeCell ref="K240:L240"/>
    <mergeCell ref="M240:N240"/>
    <mergeCell ref="O240:P240"/>
    <mergeCell ref="Q240:R240"/>
    <mergeCell ref="A239:B239"/>
    <mergeCell ref="E239:F239"/>
    <mergeCell ref="G239:H239"/>
    <mergeCell ref="I239:J239"/>
    <mergeCell ref="K239:L239"/>
    <mergeCell ref="M239:N239"/>
  </mergeCells>
  <conditionalFormatting sqref="C222:D225 C228:D231 A222:A231 C14:D31 C152:D218">
    <cfRule type="expression" dxfId="132" priority="211">
      <formula>$A14="SUMÁCIA:"</formula>
    </cfRule>
  </conditionalFormatting>
  <conditionalFormatting sqref="A229:A231 C229:D231 C15:D31 C153:D218">
    <cfRule type="expression" dxfId="131" priority="209">
      <formula>$E15="VB"</formula>
    </cfRule>
    <cfRule type="expression" dxfId="130" priority="210">
      <formula>$A15="SUMÁCIA:"</formula>
    </cfRule>
  </conditionalFormatting>
  <conditionalFormatting sqref="J33:J219">
    <cfRule type="cellIs" dxfId="129" priority="201" operator="greaterThan">
      <formula>30</formula>
    </cfRule>
    <cfRule type="cellIs" dxfId="128" priority="202" operator="between">
      <formula>25</formula>
      <formula>30</formula>
    </cfRule>
    <cfRule type="cellIs" dxfId="127" priority="203" operator="between">
      <formula>20</formula>
      <formula>25</formula>
    </cfRule>
    <cfRule type="cellIs" dxfId="126" priority="204" operator="between">
      <formula>15</formula>
      <formula>20</formula>
    </cfRule>
    <cfRule type="cellIs" dxfId="125" priority="205" operator="between">
      <formula>10</formula>
      <formula>15</formula>
    </cfRule>
    <cfRule type="cellIs" dxfId="124" priority="206" operator="between">
      <formula>5</formula>
      <formula>10</formula>
    </cfRule>
    <cfRule type="cellIs" dxfId="123" priority="207" operator="between">
      <formula>0</formula>
      <formula>5</formula>
    </cfRule>
  </conditionalFormatting>
  <conditionalFormatting sqref="I235 G236 C234:D234 F234">
    <cfRule type="cellIs" dxfId="122" priority="200" operator="lessThan">
      <formula>-20</formula>
    </cfRule>
  </conditionalFormatting>
  <conditionalFormatting sqref="K33:K219">
    <cfRule type="cellIs" dxfId="121" priority="193" operator="greaterThan">
      <formula>15</formula>
    </cfRule>
    <cfRule type="cellIs" dxfId="120" priority="194" operator="between">
      <formula>13</formula>
      <formula>15</formula>
    </cfRule>
    <cfRule type="cellIs" dxfId="119" priority="195" operator="between">
      <formula>11</formula>
      <formula>13</formula>
    </cfRule>
    <cfRule type="cellIs" dxfId="118" priority="196" operator="between">
      <formula>8</formula>
      <formula>11</formula>
    </cfRule>
    <cfRule type="cellIs" dxfId="117" priority="197" operator="between">
      <formula>5</formula>
      <formula>8</formula>
    </cfRule>
    <cfRule type="cellIs" dxfId="116" priority="198" operator="between">
      <formula>2</formula>
      <formula>5</formula>
    </cfRule>
    <cfRule type="cellIs" dxfId="115" priority="199" operator="between">
      <formula>0</formula>
      <formula>2</formula>
    </cfRule>
  </conditionalFormatting>
  <conditionalFormatting sqref="M33:M219">
    <cfRule type="cellIs" dxfId="114" priority="186" operator="greaterThan">
      <formula>150</formula>
    </cfRule>
    <cfRule type="cellIs" dxfId="113" priority="187" operator="between">
      <formula>90</formula>
      <formula>150</formula>
    </cfRule>
    <cfRule type="cellIs" dxfId="112" priority="188" operator="between">
      <formula>50</formula>
      <formula>90</formula>
    </cfRule>
    <cfRule type="cellIs" dxfId="111" priority="189" operator="between">
      <formula>30</formula>
      <formula>50</formula>
    </cfRule>
    <cfRule type="cellIs" dxfId="110" priority="190" operator="between">
      <formula>15</formula>
      <formula>30</formula>
    </cfRule>
    <cfRule type="cellIs" dxfId="109" priority="191" operator="between">
      <formula>5</formula>
      <formula>15</formula>
    </cfRule>
    <cfRule type="cellIs" dxfId="108" priority="192" operator="between">
      <formula>0</formula>
      <formula>5</formula>
    </cfRule>
  </conditionalFormatting>
  <conditionalFormatting sqref="N33:N219">
    <cfRule type="cellIs" dxfId="107" priority="178" operator="greaterThan">
      <formula>80</formula>
    </cfRule>
    <cfRule type="cellIs" dxfId="106" priority="179" operator="between">
      <formula>60</formula>
      <formula>80</formula>
    </cfRule>
    <cfRule type="cellIs" dxfId="105" priority="180" operator="between">
      <formula>45</formula>
      <formula>60</formula>
    </cfRule>
    <cfRule type="cellIs" dxfId="104" priority="181" operator="between">
      <formula>30</formula>
      <formula>45</formula>
    </cfRule>
    <cfRule type="cellIs" dxfId="103" priority="182" operator="between">
      <formula>15</formula>
      <formula>30</formula>
    </cfRule>
    <cfRule type="cellIs" dxfId="102" priority="183" operator="between">
      <formula>10</formula>
      <formula>15</formula>
    </cfRule>
    <cfRule type="cellIs" dxfId="101" priority="184" operator="between">
      <formula>5</formula>
      <formula>10</formula>
    </cfRule>
    <cfRule type="cellIs" dxfId="100" priority="185" operator="between">
      <formula>0</formula>
      <formula>5</formula>
    </cfRule>
  </conditionalFormatting>
  <conditionalFormatting sqref="O147:O219 O33:O145">
    <cfRule type="cellIs" dxfId="99" priority="171" operator="greaterThan">
      <formula>50</formula>
    </cfRule>
    <cfRule type="cellIs" dxfId="98" priority="172" operator="between">
      <formula>40</formula>
      <formula>50</formula>
    </cfRule>
    <cfRule type="cellIs" dxfId="97" priority="173" operator="between">
      <formula>30</formula>
      <formula>40</formula>
    </cfRule>
    <cfRule type="cellIs" dxfId="96" priority="174" operator="between">
      <formula>20</formula>
      <formula>30</formula>
    </cfRule>
    <cfRule type="cellIs" dxfId="95" priority="175" operator="between">
      <formula>15</formula>
      <formula>20</formula>
    </cfRule>
    <cfRule type="cellIs" dxfId="94" priority="176" operator="between">
      <formula>10</formula>
      <formula>15</formula>
    </cfRule>
    <cfRule type="cellIs" dxfId="93" priority="177" operator="between">
      <formula>5</formula>
      <formula>10</formula>
    </cfRule>
  </conditionalFormatting>
  <conditionalFormatting sqref="P33:P219">
    <cfRule type="cellIs" dxfId="92" priority="163" operator="greaterThan">
      <formula>30</formula>
    </cfRule>
    <cfRule type="cellIs" dxfId="91" priority="164" operator="between">
      <formula>20</formula>
      <formula>30</formula>
    </cfRule>
    <cfRule type="cellIs" dxfId="90" priority="165" operator="between">
      <formula>15</formula>
      <formula>20</formula>
    </cfRule>
    <cfRule type="cellIs" dxfId="89" priority="166" operator="between">
      <formula>10</formula>
      <formula>15</formula>
    </cfRule>
    <cfRule type="cellIs" dxfId="88" priority="167" operator="between">
      <formula>5</formula>
      <formula>10</formula>
    </cfRule>
    <cfRule type="cellIs" dxfId="87" priority="168" operator="between">
      <formula>3</formula>
      <formula>5</formula>
    </cfRule>
    <cfRule type="cellIs" dxfId="86" priority="169" operator="between">
      <formula>1</formula>
      <formula>3</formula>
    </cfRule>
    <cfRule type="cellIs" dxfId="85" priority="170" operator="between">
      <formula>0</formula>
      <formula>1</formula>
    </cfRule>
  </conditionalFormatting>
  <conditionalFormatting sqref="M175:P175 M189:P217 O145 M157:P167 O147:O219 M145:N219 P145:P219 M33:P144">
    <cfRule type="cellIs" dxfId="84" priority="162" operator="equal">
      <formula>0</formula>
    </cfRule>
  </conditionalFormatting>
  <conditionalFormatting sqref="Q33:Q140 Q144:Q219">
    <cfRule type="cellIs" dxfId="83" priority="154" operator="greaterThan">
      <formula>2500</formula>
    </cfRule>
    <cfRule type="cellIs" dxfId="82" priority="155" operator="between">
      <formula>1800</formula>
      <formula>2500</formula>
    </cfRule>
    <cfRule type="cellIs" dxfId="81" priority="156" operator="between">
      <formula>1200</formula>
      <formula>1800</formula>
    </cfRule>
    <cfRule type="cellIs" dxfId="80" priority="157" operator="between">
      <formula>700</formula>
      <formula>1200</formula>
    </cfRule>
    <cfRule type="cellIs" dxfId="79" priority="158" operator="between">
      <formula>350</formula>
      <formula>700</formula>
    </cfRule>
    <cfRule type="cellIs" dxfId="78" priority="159" operator="between">
      <formula>50</formula>
      <formula>350</formula>
    </cfRule>
    <cfRule type="cellIs" dxfId="77" priority="160" operator="between">
      <formula>10</formula>
      <formula>50</formula>
    </cfRule>
    <cfRule type="cellIs" dxfId="76" priority="161" operator="between">
      <formula>1</formula>
      <formula>10</formula>
    </cfRule>
  </conditionalFormatting>
  <conditionalFormatting sqref="A175:XFD175 A189:XFD217 C8:G31 O145 A157:XFD167 O147:O219 P145:XFD219 A145:N219 A32:XFD140 A144:XFD144 A141:P143 S141:XFD143">
    <cfRule type="containsBlanks" dxfId="75" priority="152">
      <formula>LEN(TRIM(A8))=0</formula>
    </cfRule>
  </conditionalFormatting>
  <conditionalFormatting sqref="E125:E219 XFD125:XFD219 XEZ125:XEZ219 XEV125:XEV219 XER125:XER219 XEN125:XEN219 XEJ125:XEJ219 XEF125:XEF219 XEB125:XEB219 XDX125:XDX219 XDT125:XDT219 XDP125:XDP219 XDL125:XDL219 XDH125:XDH219 XDD125:XDD219 XCZ125:XCZ219 XCV125:XCV219 XCR125:XCR219 XCN125:XCN219 XCJ125:XCJ219 XCF125:XCF219 XCB125:XCB219 XBX125:XBX219 XBT125:XBT219 XBP125:XBP219 XBL125:XBL219 XBH125:XBH219 XBD125:XBD219 XAZ125:XAZ219 XAV125:XAV219 XAR125:XAR219 XAN125:XAN219 XAJ125:XAJ219 XAF125:XAF219 XAB125:XAB219 WZX125:WZX219 WZT125:WZT219 WZP125:WZP219 WZL125:WZL219 WZH125:WZH219 WZD125:WZD219 WYZ125:WYZ219 WYV125:WYV219 WYR125:WYR219 WYN125:WYN219 WYJ125:WYJ219 WYF125:WYF219 WYB125:WYB219 WXX125:WXX219 WXT125:WXT219 WXP125:WXP219 WXL125:WXL219 WXH125:WXH219 WXD125:WXD219 WWZ125:WWZ219 WWV125:WWV219 WWR125:WWR219 WWN125:WWN219 WWJ125:WWJ219 WWF125:WWF219 WWB125:WWB219 WVX125:WVX219 WVT125:WVT219 WVP125:WVP219 WVL125:WVL219 WVH125:WVH219 WVD125:WVD219 WUZ125:WUZ219 WUV125:WUV219 WUR125:WUR219 WUN125:WUN219 WUJ125:WUJ219 WUF125:WUF219 WUB125:WUB219 WTX125:WTX219 WTT125:WTT219 WTP125:WTP219 WTL125:WTL219 WTH125:WTH219 WTD125:WTD219 WSZ125:WSZ219 WSV125:WSV219 WSR125:WSR219 WSN125:WSN219 WSJ125:WSJ219 WSF125:WSF219 WSB125:WSB219 WRX125:WRX219 WRT125:WRT219 WRP125:WRP219 WRL125:WRL219 WRH125:WRH219 WRD125:WRD219 WQZ125:WQZ219 WQV125:WQV219 WQR125:WQR219 WQN125:WQN219 WQJ125:WQJ219 WQF125:WQF219 WQB125:WQB219 WPX125:WPX219 WPT125:WPT219 WPP125:WPP219 WPL125:WPL219 WPH125:WPH219 WPD125:WPD219 WOZ125:WOZ219 WOV125:WOV219 WOR125:WOR219 WON125:WON219 WOJ125:WOJ219 WOF125:WOF219 WOB125:WOB219 WNX125:WNX219 WNT125:WNT219 WNP125:WNP219 WNL125:WNL219 WNH125:WNH219 WND125:WND219 WMZ125:WMZ219 WMV125:WMV219 WMR125:WMR219 WMN125:WMN219 WMJ125:WMJ219 WMF125:WMF219 WMB125:WMB219 WLX125:WLX219 WLT125:WLT219 WLP125:WLP219 WLL125:WLL219 WLH125:WLH219 WLD125:WLD219 WKZ125:WKZ219 WKV125:WKV219 WKR125:WKR219 WKN125:WKN219 WKJ125:WKJ219 WKF125:WKF219 WKB125:WKB219 WJX125:WJX219 WJT125:WJT219 WJP125:WJP219 WJL125:WJL219 WJH125:WJH219 WJD125:WJD219 WIZ125:WIZ219 WIV125:WIV219 WIR125:WIR219 WIN125:WIN219 WIJ125:WIJ219 WIF125:WIF219 WIB125:WIB219 WHX125:WHX219 WHT125:WHT219 WHP125:WHP219 WHL125:WHL219 WHH125:WHH219 WHD125:WHD219 WGZ125:WGZ219 WGV125:WGV219 WGR125:WGR219 WGN125:WGN219 WGJ125:WGJ219 WGF125:WGF219 WGB125:WGB219 WFX125:WFX219 WFT125:WFT219 WFP125:WFP219 WFL125:WFL219 WFH125:WFH219 WFD125:WFD219 WEZ125:WEZ219 WEV125:WEV219 WER125:WER219 WEN125:WEN219 WEJ125:WEJ219 WEF125:WEF219 WEB125:WEB219 WDX125:WDX219 WDT125:WDT219 WDP125:WDP219 WDL125:WDL219 WDH125:WDH219 WDD125:WDD219 WCZ125:WCZ219 WCV125:WCV219 WCR125:WCR219 WCN125:WCN219 WCJ125:WCJ219 WCF125:WCF219 WCB125:WCB219 WBX125:WBX219 WBT125:WBT219 WBP125:WBP219 WBL125:WBL219 WBH125:WBH219 WBD125:WBD219 WAZ125:WAZ219 WAV125:WAV219 WAR125:WAR219 WAN125:WAN219 WAJ125:WAJ219 WAF125:WAF219 WAB125:WAB219 VZX125:VZX219 VZT125:VZT219 VZP125:VZP219 VZL125:VZL219 VZH125:VZH219 VZD125:VZD219 VYZ125:VYZ219 VYV125:VYV219 VYR125:VYR219 VYN125:VYN219 VYJ125:VYJ219 VYF125:VYF219 VYB125:VYB219 VXX125:VXX219 VXT125:VXT219 VXP125:VXP219 VXL125:VXL219 VXH125:VXH219 VXD125:VXD219 VWZ125:VWZ219 VWV125:VWV219 VWR125:VWR219 VWN125:VWN219 VWJ125:VWJ219 VWF125:VWF219 VWB125:VWB219 VVX125:VVX219 VVT125:VVT219 VVP125:VVP219 VVL125:VVL219 VVH125:VVH219 VVD125:VVD219 VUZ125:VUZ219 VUV125:VUV219 VUR125:VUR219 VUN125:VUN219 VUJ125:VUJ219 VUF125:VUF219 VUB125:VUB219 VTX125:VTX219 VTT125:VTT219 VTP125:VTP219 VTL125:VTL219 VTH125:VTH219 VTD125:VTD219 VSZ125:VSZ219 VSV125:VSV219 VSR125:VSR219 VSN125:VSN219 VSJ125:VSJ219 VSF125:VSF219 VSB125:VSB219 VRX125:VRX219 VRT125:VRT219 VRP125:VRP219 VRL125:VRL219 VRH125:VRH219 VRD125:VRD219 VQZ125:VQZ219 VQV125:VQV219 VQR125:VQR219 VQN125:VQN219 VQJ125:VQJ219 VQF125:VQF219 VQB125:VQB219 VPX125:VPX219 VPT125:VPT219 VPP125:VPP219 VPL125:VPL219 VPH125:VPH219 VPD125:VPD219 VOZ125:VOZ219 VOV125:VOV219 VOR125:VOR219 VON125:VON219 VOJ125:VOJ219 VOF125:VOF219 VOB125:VOB219 VNX125:VNX219 VNT125:VNT219 VNP125:VNP219 VNL125:VNL219 VNH125:VNH219 VND125:VND219 VMZ125:VMZ219 VMV125:VMV219 VMR125:VMR219 VMN125:VMN219 VMJ125:VMJ219 VMF125:VMF219 VMB125:VMB219 VLX125:VLX219 VLT125:VLT219 VLP125:VLP219 VLL125:VLL219 VLH125:VLH219 VLD125:VLD219 VKZ125:VKZ219 VKV125:VKV219 VKR125:VKR219 VKN125:VKN219 VKJ125:VKJ219 VKF125:VKF219 VKB125:VKB219 VJX125:VJX219 VJT125:VJT219 VJP125:VJP219 VJL125:VJL219 VJH125:VJH219 VJD125:VJD219 VIZ125:VIZ219 VIV125:VIV219 VIR125:VIR219 VIN125:VIN219 VIJ125:VIJ219 VIF125:VIF219 VIB125:VIB219 VHX125:VHX219 VHT125:VHT219 VHP125:VHP219 VHL125:VHL219 VHH125:VHH219 VHD125:VHD219 VGZ125:VGZ219 VGV125:VGV219 VGR125:VGR219 VGN125:VGN219 VGJ125:VGJ219 VGF125:VGF219 VGB125:VGB219 VFX125:VFX219 VFT125:VFT219 VFP125:VFP219 VFL125:VFL219 VFH125:VFH219 VFD125:VFD219 VEZ125:VEZ219 VEV125:VEV219 VER125:VER219 VEN125:VEN219 VEJ125:VEJ219 VEF125:VEF219 VEB125:VEB219 VDX125:VDX219 VDT125:VDT219 VDP125:VDP219 VDL125:VDL219 VDH125:VDH219 VDD125:VDD219 VCZ125:VCZ219 VCV125:VCV219 VCR125:VCR219 VCN125:VCN219 VCJ125:VCJ219 VCF125:VCF219 VCB125:VCB219 VBX125:VBX219 VBT125:VBT219 VBP125:VBP219 VBL125:VBL219 VBH125:VBH219 VBD125:VBD219 VAZ125:VAZ219 VAV125:VAV219 VAR125:VAR219 VAN125:VAN219 VAJ125:VAJ219 VAF125:VAF219 VAB125:VAB219 UZX125:UZX219 UZT125:UZT219 UZP125:UZP219 UZL125:UZL219 UZH125:UZH219 UZD125:UZD219 UYZ125:UYZ219 UYV125:UYV219 UYR125:UYR219 UYN125:UYN219 UYJ125:UYJ219 UYF125:UYF219 UYB125:UYB219 UXX125:UXX219 UXT125:UXT219 UXP125:UXP219 UXL125:UXL219 UXH125:UXH219 UXD125:UXD219 UWZ125:UWZ219 UWV125:UWV219 UWR125:UWR219 UWN125:UWN219 UWJ125:UWJ219 UWF125:UWF219 UWB125:UWB219 UVX125:UVX219 UVT125:UVT219 UVP125:UVP219 UVL125:UVL219 UVH125:UVH219 UVD125:UVD219 UUZ125:UUZ219 UUV125:UUV219 UUR125:UUR219 UUN125:UUN219 UUJ125:UUJ219 UUF125:UUF219 UUB125:UUB219 UTX125:UTX219 UTT125:UTT219 UTP125:UTP219 UTL125:UTL219 UTH125:UTH219 UTD125:UTD219 USZ125:USZ219 USV125:USV219 USR125:USR219 USN125:USN219 USJ125:USJ219 USF125:USF219 USB125:USB219 URX125:URX219 URT125:URT219 URP125:URP219 URL125:URL219 URH125:URH219 URD125:URD219 UQZ125:UQZ219 UQV125:UQV219 UQR125:UQR219 UQN125:UQN219 UQJ125:UQJ219 UQF125:UQF219 UQB125:UQB219 UPX125:UPX219 UPT125:UPT219 UPP125:UPP219 UPL125:UPL219 UPH125:UPH219 UPD125:UPD219 UOZ125:UOZ219 UOV125:UOV219 UOR125:UOR219 UON125:UON219 UOJ125:UOJ219 UOF125:UOF219 UOB125:UOB219 UNX125:UNX219 UNT125:UNT219 UNP125:UNP219 UNL125:UNL219 UNH125:UNH219 UND125:UND219 UMZ125:UMZ219 UMV125:UMV219 UMR125:UMR219 UMN125:UMN219 UMJ125:UMJ219 UMF125:UMF219 UMB125:UMB219 ULX125:ULX219 ULT125:ULT219 ULP125:ULP219 ULL125:ULL219 ULH125:ULH219 ULD125:ULD219 UKZ125:UKZ219 UKV125:UKV219 UKR125:UKR219 UKN125:UKN219 UKJ125:UKJ219 UKF125:UKF219 UKB125:UKB219 UJX125:UJX219 UJT125:UJT219 UJP125:UJP219 UJL125:UJL219 UJH125:UJH219 UJD125:UJD219 UIZ125:UIZ219 UIV125:UIV219 UIR125:UIR219 UIN125:UIN219 UIJ125:UIJ219 UIF125:UIF219 UIB125:UIB219 UHX125:UHX219 UHT125:UHT219 UHP125:UHP219 UHL125:UHL219 UHH125:UHH219 UHD125:UHD219 UGZ125:UGZ219 UGV125:UGV219 UGR125:UGR219 UGN125:UGN219 UGJ125:UGJ219 UGF125:UGF219 UGB125:UGB219 UFX125:UFX219 UFT125:UFT219 UFP125:UFP219 UFL125:UFL219 UFH125:UFH219 UFD125:UFD219 UEZ125:UEZ219 UEV125:UEV219 UER125:UER219 UEN125:UEN219 UEJ125:UEJ219 UEF125:UEF219 UEB125:UEB219 UDX125:UDX219 UDT125:UDT219 UDP125:UDP219 UDL125:UDL219 UDH125:UDH219 UDD125:UDD219 UCZ125:UCZ219 UCV125:UCV219 UCR125:UCR219 UCN125:UCN219 UCJ125:UCJ219 UCF125:UCF219 UCB125:UCB219 UBX125:UBX219 UBT125:UBT219 UBP125:UBP219 UBL125:UBL219 UBH125:UBH219 UBD125:UBD219 UAZ125:UAZ219 UAV125:UAV219 UAR125:UAR219 UAN125:UAN219 UAJ125:UAJ219 UAF125:UAF219 UAB125:UAB219 TZX125:TZX219 TZT125:TZT219 TZP125:TZP219 TZL125:TZL219 TZH125:TZH219 TZD125:TZD219 TYZ125:TYZ219 TYV125:TYV219 TYR125:TYR219 TYN125:TYN219 TYJ125:TYJ219 TYF125:TYF219 TYB125:TYB219 TXX125:TXX219 TXT125:TXT219 TXP125:TXP219 TXL125:TXL219 TXH125:TXH219 TXD125:TXD219 TWZ125:TWZ219 TWV125:TWV219 TWR125:TWR219 TWN125:TWN219 TWJ125:TWJ219 TWF125:TWF219 TWB125:TWB219 TVX125:TVX219 TVT125:TVT219 TVP125:TVP219 TVL125:TVL219 TVH125:TVH219 TVD125:TVD219 TUZ125:TUZ219 TUV125:TUV219 TUR125:TUR219 TUN125:TUN219 TUJ125:TUJ219 TUF125:TUF219 TUB125:TUB219 TTX125:TTX219 TTT125:TTT219 TTP125:TTP219 TTL125:TTL219 TTH125:TTH219 TTD125:TTD219 TSZ125:TSZ219 TSV125:TSV219 TSR125:TSR219 TSN125:TSN219 TSJ125:TSJ219 TSF125:TSF219 TSB125:TSB219 TRX125:TRX219 TRT125:TRT219 TRP125:TRP219 TRL125:TRL219 TRH125:TRH219 TRD125:TRD219 TQZ125:TQZ219 TQV125:TQV219 TQR125:TQR219 TQN125:TQN219 TQJ125:TQJ219 TQF125:TQF219 TQB125:TQB219 TPX125:TPX219 TPT125:TPT219 TPP125:TPP219 TPL125:TPL219 TPH125:TPH219 TPD125:TPD219 TOZ125:TOZ219 TOV125:TOV219 TOR125:TOR219 TON125:TON219 TOJ125:TOJ219 TOF125:TOF219 TOB125:TOB219 TNX125:TNX219 TNT125:TNT219 TNP125:TNP219 TNL125:TNL219 TNH125:TNH219 TND125:TND219 TMZ125:TMZ219 TMV125:TMV219 TMR125:TMR219 TMN125:TMN219 TMJ125:TMJ219 TMF125:TMF219 TMB125:TMB219 TLX125:TLX219 TLT125:TLT219 TLP125:TLP219 TLL125:TLL219 TLH125:TLH219 TLD125:TLD219 TKZ125:TKZ219 TKV125:TKV219 TKR125:TKR219 TKN125:TKN219 TKJ125:TKJ219 TKF125:TKF219 TKB125:TKB219 TJX125:TJX219 TJT125:TJT219 TJP125:TJP219 TJL125:TJL219 TJH125:TJH219 TJD125:TJD219 TIZ125:TIZ219 TIV125:TIV219 TIR125:TIR219 TIN125:TIN219 TIJ125:TIJ219 TIF125:TIF219 TIB125:TIB219 THX125:THX219 THT125:THT219 THP125:THP219 THL125:THL219 THH125:THH219 THD125:THD219 TGZ125:TGZ219 TGV125:TGV219 TGR125:TGR219 TGN125:TGN219 TGJ125:TGJ219 TGF125:TGF219 TGB125:TGB219 TFX125:TFX219 TFT125:TFT219 TFP125:TFP219 TFL125:TFL219 TFH125:TFH219 TFD125:TFD219 TEZ125:TEZ219 TEV125:TEV219 TER125:TER219 TEN125:TEN219 TEJ125:TEJ219 TEF125:TEF219 TEB125:TEB219 TDX125:TDX219 TDT125:TDT219 TDP125:TDP219 TDL125:TDL219 TDH125:TDH219 TDD125:TDD219 TCZ125:TCZ219 TCV125:TCV219 TCR125:TCR219 TCN125:TCN219 TCJ125:TCJ219 TCF125:TCF219 TCB125:TCB219 TBX125:TBX219 TBT125:TBT219 TBP125:TBP219 TBL125:TBL219 TBH125:TBH219 TBD125:TBD219 TAZ125:TAZ219 TAV125:TAV219 TAR125:TAR219 TAN125:TAN219 TAJ125:TAJ219 TAF125:TAF219 TAB125:TAB219 SZX125:SZX219 SZT125:SZT219 SZP125:SZP219 SZL125:SZL219 SZH125:SZH219 SZD125:SZD219 SYZ125:SYZ219 SYV125:SYV219 SYR125:SYR219 SYN125:SYN219 SYJ125:SYJ219 SYF125:SYF219 SYB125:SYB219 SXX125:SXX219 SXT125:SXT219 SXP125:SXP219 SXL125:SXL219 SXH125:SXH219 SXD125:SXD219 SWZ125:SWZ219 SWV125:SWV219 SWR125:SWR219 SWN125:SWN219 SWJ125:SWJ219 SWF125:SWF219 SWB125:SWB219 SVX125:SVX219 SVT125:SVT219 SVP125:SVP219 SVL125:SVL219 SVH125:SVH219 SVD125:SVD219 SUZ125:SUZ219 SUV125:SUV219 SUR125:SUR219 SUN125:SUN219 SUJ125:SUJ219 SUF125:SUF219 SUB125:SUB219 STX125:STX219 STT125:STT219 STP125:STP219 STL125:STL219 STH125:STH219 STD125:STD219 SSZ125:SSZ219 SSV125:SSV219 SSR125:SSR219 SSN125:SSN219 SSJ125:SSJ219 SSF125:SSF219 SSB125:SSB219 SRX125:SRX219 SRT125:SRT219 SRP125:SRP219 SRL125:SRL219 SRH125:SRH219 SRD125:SRD219 SQZ125:SQZ219 SQV125:SQV219 SQR125:SQR219 SQN125:SQN219 SQJ125:SQJ219 SQF125:SQF219 SQB125:SQB219 SPX125:SPX219 SPT125:SPT219 SPP125:SPP219 SPL125:SPL219 SPH125:SPH219 SPD125:SPD219 SOZ125:SOZ219 SOV125:SOV219 SOR125:SOR219 SON125:SON219 SOJ125:SOJ219 SOF125:SOF219 SOB125:SOB219 SNX125:SNX219 SNT125:SNT219 SNP125:SNP219 SNL125:SNL219 SNH125:SNH219 SND125:SND219 SMZ125:SMZ219 SMV125:SMV219 SMR125:SMR219 SMN125:SMN219 SMJ125:SMJ219 SMF125:SMF219 SMB125:SMB219 SLX125:SLX219 SLT125:SLT219 SLP125:SLP219 SLL125:SLL219 SLH125:SLH219 SLD125:SLD219 SKZ125:SKZ219 SKV125:SKV219 SKR125:SKR219 SKN125:SKN219 SKJ125:SKJ219 SKF125:SKF219 SKB125:SKB219 SJX125:SJX219 SJT125:SJT219 SJP125:SJP219 SJL125:SJL219 SJH125:SJH219 SJD125:SJD219 SIZ125:SIZ219 SIV125:SIV219 SIR125:SIR219 SIN125:SIN219 SIJ125:SIJ219 SIF125:SIF219 SIB125:SIB219 SHX125:SHX219 SHT125:SHT219 SHP125:SHP219 SHL125:SHL219 SHH125:SHH219 SHD125:SHD219 SGZ125:SGZ219 SGV125:SGV219 SGR125:SGR219 SGN125:SGN219 SGJ125:SGJ219 SGF125:SGF219 SGB125:SGB219 SFX125:SFX219 SFT125:SFT219 SFP125:SFP219 SFL125:SFL219 SFH125:SFH219 SFD125:SFD219 SEZ125:SEZ219 SEV125:SEV219 SER125:SER219 SEN125:SEN219 SEJ125:SEJ219 SEF125:SEF219 SEB125:SEB219 SDX125:SDX219 SDT125:SDT219 SDP125:SDP219 SDL125:SDL219 SDH125:SDH219 SDD125:SDD219 SCZ125:SCZ219 SCV125:SCV219 SCR125:SCR219 SCN125:SCN219 SCJ125:SCJ219 SCF125:SCF219 SCB125:SCB219 SBX125:SBX219 SBT125:SBT219 SBP125:SBP219 SBL125:SBL219 SBH125:SBH219 SBD125:SBD219 SAZ125:SAZ219 SAV125:SAV219 SAR125:SAR219 SAN125:SAN219 SAJ125:SAJ219 SAF125:SAF219 SAB125:SAB219 RZX125:RZX219 RZT125:RZT219 RZP125:RZP219 RZL125:RZL219 RZH125:RZH219 RZD125:RZD219 RYZ125:RYZ219 RYV125:RYV219 RYR125:RYR219 RYN125:RYN219 RYJ125:RYJ219 RYF125:RYF219 RYB125:RYB219 RXX125:RXX219 RXT125:RXT219 RXP125:RXP219 RXL125:RXL219 RXH125:RXH219 RXD125:RXD219 RWZ125:RWZ219 RWV125:RWV219 RWR125:RWR219 RWN125:RWN219 RWJ125:RWJ219 RWF125:RWF219 RWB125:RWB219 RVX125:RVX219 RVT125:RVT219 RVP125:RVP219 RVL125:RVL219 RVH125:RVH219 RVD125:RVD219 RUZ125:RUZ219 RUV125:RUV219 RUR125:RUR219 RUN125:RUN219 RUJ125:RUJ219 RUF125:RUF219 RUB125:RUB219 RTX125:RTX219 RTT125:RTT219 RTP125:RTP219 RTL125:RTL219 RTH125:RTH219 RTD125:RTD219 RSZ125:RSZ219 RSV125:RSV219 RSR125:RSR219 RSN125:RSN219 RSJ125:RSJ219 RSF125:RSF219 RSB125:RSB219 RRX125:RRX219 RRT125:RRT219 RRP125:RRP219 RRL125:RRL219 RRH125:RRH219 RRD125:RRD219 RQZ125:RQZ219 RQV125:RQV219 RQR125:RQR219 RQN125:RQN219 RQJ125:RQJ219 RQF125:RQF219 RQB125:RQB219 RPX125:RPX219 RPT125:RPT219 RPP125:RPP219 RPL125:RPL219 RPH125:RPH219 RPD125:RPD219 ROZ125:ROZ219 ROV125:ROV219 ROR125:ROR219 RON125:RON219 ROJ125:ROJ219 ROF125:ROF219 ROB125:ROB219 RNX125:RNX219 RNT125:RNT219 RNP125:RNP219 RNL125:RNL219 RNH125:RNH219 RND125:RND219 RMZ125:RMZ219 RMV125:RMV219 RMR125:RMR219 RMN125:RMN219 RMJ125:RMJ219 RMF125:RMF219 RMB125:RMB219 RLX125:RLX219 RLT125:RLT219 RLP125:RLP219 RLL125:RLL219 RLH125:RLH219 RLD125:RLD219 RKZ125:RKZ219 RKV125:RKV219 RKR125:RKR219 RKN125:RKN219 RKJ125:RKJ219 RKF125:RKF219 RKB125:RKB219 RJX125:RJX219 RJT125:RJT219 RJP125:RJP219 RJL125:RJL219 RJH125:RJH219 RJD125:RJD219 RIZ125:RIZ219 RIV125:RIV219 RIR125:RIR219 RIN125:RIN219 RIJ125:RIJ219 RIF125:RIF219 RIB125:RIB219 RHX125:RHX219 RHT125:RHT219 RHP125:RHP219 RHL125:RHL219 RHH125:RHH219 RHD125:RHD219 RGZ125:RGZ219 RGV125:RGV219 RGR125:RGR219 RGN125:RGN219 RGJ125:RGJ219 RGF125:RGF219 RGB125:RGB219 RFX125:RFX219 RFT125:RFT219 RFP125:RFP219 RFL125:RFL219 RFH125:RFH219 RFD125:RFD219 REZ125:REZ219 REV125:REV219 RER125:RER219 REN125:REN219 REJ125:REJ219 REF125:REF219 REB125:REB219 RDX125:RDX219 RDT125:RDT219 RDP125:RDP219 RDL125:RDL219 RDH125:RDH219 RDD125:RDD219 RCZ125:RCZ219 RCV125:RCV219 RCR125:RCR219 RCN125:RCN219 RCJ125:RCJ219 RCF125:RCF219 RCB125:RCB219 RBX125:RBX219 RBT125:RBT219 RBP125:RBP219 RBL125:RBL219 RBH125:RBH219 RBD125:RBD219 RAZ125:RAZ219 RAV125:RAV219 RAR125:RAR219 RAN125:RAN219 RAJ125:RAJ219 RAF125:RAF219 RAB125:RAB219 QZX125:QZX219 QZT125:QZT219 QZP125:QZP219 QZL125:QZL219 QZH125:QZH219 QZD125:QZD219 QYZ125:QYZ219 QYV125:QYV219 QYR125:QYR219 QYN125:QYN219 QYJ125:QYJ219 QYF125:QYF219 QYB125:QYB219 QXX125:QXX219 QXT125:QXT219 QXP125:QXP219 QXL125:QXL219 QXH125:QXH219 QXD125:QXD219 QWZ125:QWZ219 QWV125:QWV219 QWR125:QWR219 QWN125:QWN219 QWJ125:QWJ219 QWF125:QWF219 QWB125:QWB219 QVX125:QVX219 QVT125:QVT219 QVP125:QVP219 QVL125:QVL219 QVH125:QVH219 QVD125:QVD219 QUZ125:QUZ219 QUV125:QUV219 QUR125:QUR219 QUN125:QUN219 QUJ125:QUJ219 QUF125:QUF219 QUB125:QUB219 QTX125:QTX219 QTT125:QTT219 QTP125:QTP219 QTL125:QTL219 QTH125:QTH219 QTD125:QTD219 QSZ125:QSZ219 QSV125:QSV219 QSR125:QSR219 QSN125:QSN219 QSJ125:QSJ219 QSF125:QSF219 QSB125:QSB219 QRX125:QRX219 QRT125:QRT219 QRP125:QRP219 QRL125:QRL219 QRH125:QRH219 QRD125:QRD219 QQZ125:QQZ219 QQV125:QQV219 QQR125:QQR219 QQN125:QQN219 QQJ125:QQJ219 QQF125:QQF219 QQB125:QQB219 QPX125:QPX219 QPT125:QPT219 QPP125:QPP219 QPL125:QPL219 QPH125:QPH219 QPD125:QPD219 QOZ125:QOZ219 QOV125:QOV219 QOR125:QOR219 QON125:QON219 QOJ125:QOJ219 QOF125:QOF219 QOB125:QOB219 QNX125:QNX219 QNT125:QNT219 QNP125:QNP219 QNL125:QNL219 QNH125:QNH219 QND125:QND219 QMZ125:QMZ219 QMV125:QMV219 QMR125:QMR219 QMN125:QMN219 QMJ125:QMJ219 QMF125:QMF219 QMB125:QMB219 QLX125:QLX219 QLT125:QLT219 QLP125:QLP219 QLL125:QLL219 QLH125:QLH219 QLD125:QLD219 QKZ125:QKZ219 QKV125:QKV219 QKR125:QKR219 QKN125:QKN219 QKJ125:QKJ219 QKF125:QKF219 QKB125:QKB219 QJX125:QJX219 QJT125:QJT219 QJP125:QJP219 QJL125:QJL219 QJH125:QJH219 QJD125:QJD219 QIZ125:QIZ219 QIV125:QIV219 QIR125:QIR219 QIN125:QIN219 QIJ125:QIJ219 QIF125:QIF219 QIB125:QIB219 QHX125:QHX219 QHT125:QHT219 QHP125:QHP219 QHL125:QHL219 QHH125:QHH219 QHD125:QHD219 QGZ125:QGZ219 QGV125:QGV219 QGR125:QGR219 QGN125:QGN219 QGJ125:QGJ219 QGF125:QGF219 QGB125:QGB219 QFX125:QFX219 QFT125:QFT219 QFP125:QFP219 QFL125:QFL219 QFH125:QFH219 QFD125:QFD219 QEZ125:QEZ219 QEV125:QEV219 QER125:QER219 QEN125:QEN219 QEJ125:QEJ219 QEF125:QEF219 QEB125:QEB219 QDX125:QDX219 QDT125:QDT219 QDP125:QDP219 QDL125:QDL219 QDH125:QDH219 QDD125:QDD219 QCZ125:QCZ219 QCV125:QCV219 QCR125:QCR219 QCN125:QCN219 QCJ125:QCJ219 QCF125:QCF219 QCB125:QCB219 QBX125:QBX219 QBT125:QBT219 QBP125:QBP219 QBL125:QBL219 QBH125:QBH219 QBD125:QBD219 QAZ125:QAZ219 QAV125:QAV219 QAR125:QAR219 QAN125:QAN219 QAJ125:QAJ219 QAF125:QAF219 QAB125:QAB219 PZX125:PZX219 PZT125:PZT219 PZP125:PZP219 PZL125:PZL219 PZH125:PZH219 PZD125:PZD219 PYZ125:PYZ219 PYV125:PYV219 PYR125:PYR219 PYN125:PYN219 PYJ125:PYJ219 PYF125:PYF219 PYB125:PYB219 PXX125:PXX219 PXT125:PXT219 PXP125:PXP219 PXL125:PXL219 PXH125:PXH219 PXD125:PXD219 PWZ125:PWZ219 PWV125:PWV219 PWR125:PWR219 PWN125:PWN219 PWJ125:PWJ219 PWF125:PWF219 PWB125:PWB219 PVX125:PVX219 PVT125:PVT219 PVP125:PVP219 PVL125:PVL219 PVH125:PVH219 PVD125:PVD219 PUZ125:PUZ219 PUV125:PUV219 PUR125:PUR219 PUN125:PUN219 PUJ125:PUJ219 PUF125:PUF219 PUB125:PUB219 PTX125:PTX219 PTT125:PTT219 PTP125:PTP219 PTL125:PTL219 PTH125:PTH219 PTD125:PTD219 PSZ125:PSZ219 PSV125:PSV219 PSR125:PSR219 PSN125:PSN219 PSJ125:PSJ219 PSF125:PSF219 PSB125:PSB219 PRX125:PRX219 PRT125:PRT219 PRP125:PRP219 PRL125:PRL219 PRH125:PRH219 PRD125:PRD219 PQZ125:PQZ219 PQV125:PQV219 PQR125:PQR219 PQN125:PQN219 PQJ125:PQJ219 PQF125:PQF219 PQB125:PQB219 PPX125:PPX219 PPT125:PPT219 PPP125:PPP219 PPL125:PPL219 PPH125:PPH219 PPD125:PPD219 POZ125:POZ219 POV125:POV219 POR125:POR219 PON125:PON219 POJ125:POJ219 POF125:POF219 POB125:POB219 PNX125:PNX219 PNT125:PNT219 PNP125:PNP219 PNL125:PNL219 PNH125:PNH219 PND125:PND219 PMZ125:PMZ219 PMV125:PMV219 PMR125:PMR219 PMN125:PMN219 PMJ125:PMJ219 PMF125:PMF219 PMB125:PMB219 PLX125:PLX219 PLT125:PLT219 PLP125:PLP219 PLL125:PLL219 PLH125:PLH219 PLD125:PLD219 PKZ125:PKZ219 PKV125:PKV219 PKR125:PKR219 PKN125:PKN219 PKJ125:PKJ219 PKF125:PKF219 PKB125:PKB219 PJX125:PJX219 PJT125:PJT219 PJP125:PJP219 PJL125:PJL219 PJH125:PJH219 PJD125:PJD219 PIZ125:PIZ219 PIV125:PIV219 PIR125:PIR219 PIN125:PIN219 PIJ125:PIJ219 PIF125:PIF219 PIB125:PIB219 PHX125:PHX219 PHT125:PHT219 PHP125:PHP219 PHL125:PHL219 PHH125:PHH219 PHD125:PHD219 PGZ125:PGZ219 PGV125:PGV219 PGR125:PGR219 PGN125:PGN219 PGJ125:PGJ219 PGF125:PGF219 PGB125:PGB219 PFX125:PFX219 PFT125:PFT219 PFP125:PFP219 PFL125:PFL219 PFH125:PFH219 PFD125:PFD219 PEZ125:PEZ219 PEV125:PEV219 PER125:PER219 PEN125:PEN219 PEJ125:PEJ219 PEF125:PEF219 PEB125:PEB219 PDX125:PDX219 PDT125:PDT219 PDP125:PDP219 PDL125:PDL219 PDH125:PDH219 PDD125:PDD219 PCZ125:PCZ219 PCV125:PCV219 PCR125:PCR219 PCN125:PCN219 PCJ125:PCJ219 PCF125:PCF219 PCB125:PCB219 PBX125:PBX219 PBT125:PBT219 PBP125:PBP219 PBL125:PBL219 PBH125:PBH219 PBD125:PBD219 PAZ125:PAZ219 PAV125:PAV219 PAR125:PAR219 PAN125:PAN219 PAJ125:PAJ219 PAF125:PAF219 PAB125:PAB219 OZX125:OZX219 OZT125:OZT219 OZP125:OZP219 OZL125:OZL219 OZH125:OZH219 OZD125:OZD219 OYZ125:OYZ219 OYV125:OYV219 OYR125:OYR219 OYN125:OYN219 OYJ125:OYJ219 OYF125:OYF219 OYB125:OYB219 OXX125:OXX219 OXT125:OXT219 OXP125:OXP219 OXL125:OXL219 OXH125:OXH219 OXD125:OXD219 OWZ125:OWZ219 OWV125:OWV219 OWR125:OWR219 OWN125:OWN219 OWJ125:OWJ219 OWF125:OWF219 OWB125:OWB219 OVX125:OVX219 OVT125:OVT219 OVP125:OVP219 OVL125:OVL219 OVH125:OVH219 OVD125:OVD219 OUZ125:OUZ219 OUV125:OUV219 OUR125:OUR219 OUN125:OUN219 OUJ125:OUJ219 OUF125:OUF219 OUB125:OUB219 OTX125:OTX219 OTT125:OTT219 OTP125:OTP219 OTL125:OTL219 OTH125:OTH219 OTD125:OTD219 OSZ125:OSZ219 OSV125:OSV219 OSR125:OSR219 OSN125:OSN219 OSJ125:OSJ219 OSF125:OSF219 OSB125:OSB219 ORX125:ORX219 ORT125:ORT219 ORP125:ORP219 ORL125:ORL219 ORH125:ORH219 ORD125:ORD219 OQZ125:OQZ219 OQV125:OQV219 OQR125:OQR219 OQN125:OQN219 OQJ125:OQJ219 OQF125:OQF219 OQB125:OQB219 OPX125:OPX219 OPT125:OPT219 OPP125:OPP219 OPL125:OPL219 OPH125:OPH219 OPD125:OPD219 OOZ125:OOZ219 OOV125:OOV219 OOR125:OOR219 OON125:OON219 OOJ125:OOJ219 OOF125:OOF219 OOB125:OOB219 ONX125:ONX219 ONT125:ONT219 ONP125:ONP219 ONL125:ONL219 ONH125:ONH219 OND125:OND219 OMZ125:OMZ219 OMV125:OMV219 OMR125:OMR219 OMN125:OMN219 OMJ125:OMJ219 OMF125:OMF219 OMB125:OMB219 OLX125:OLX219 OLT125:OLT219 OLP125:OLP219 OLL125:OLL219 OLH125:OLH219 OLD125:OLD219 OKZ125:OKZ219 OKV125:OKV219 OKR125:OKR219 OKN125:OKN219 OKJ125:OKJ219 OKF125:OKF219 OKB125:OKB219 OJX125:OJX219 OJT125:OJT219 OJP125:OJP219 OJL125:OJL219 OJH125:OJH219 OJD125:OJD219 OIZ125:OIZ219 OIV125:OIV219 OIR125:OIR219 OIN125:OIN219 OIJ125:OIJ219 OIF125:OIF219 OIB125:OIB219 OHX125:OHX219 OHT125:OHT219 OHP125:OHP219 OHL125:OHL219 OHH125:OHH219 OHD125:OHD219 OGZ125:OGZ219 OGV125:OGV219 OGR125:OGR219 OGN125:OGN219 OGJ125:OGJ219 OGF125:OGF219 OGB125:OGB219 OFX125:OFX219 OFT125:OFT219 OFP125:OFP219 OFL125:OFL219 OFH125:OFH219 OFD125:OFD219 OEZ125:OEZ219 OEV125:OEV219 OER125:OER219 OEN125:OEN219 OEJ125:OEJ219 OEF125:OEF219 OEB125:OEB219 ODX125:ODX219 ODT125:ODT219 ODP125:ODP219 ODL125:ODL219 ODH125:ODH219 ODD125:ODD219 OCZ125:OCZ219 OCV125:OCV219 OCR125:OCR219 OCN125:OCN219 OCJ125:OCJ219 OCF125:OCF219 OCB125:OCB219 OBX125:OBX219 OBT125:OBT219 OBP125:OBP219 OBL125:OBL219 OBH125:OBH219 OBD125:OBD219 OAZ125:OAZ219 OAV125:OAV219 OAR125:OAR219 OAN125:OAN219 OAJ125:OAJ219 OAF125:OAF219 OAB125:OAB219 NZX125:NZX219 NZT125:NZT219 NZP125:NZP219 NZL125:NZL219 NZH125:NZH219 NZD125:NZD219 NYZ125:NYZ219 NYV125:NYV219 NYR125:NYR219 NYN125:NYN219 NYJ125:NYJ219 NYF125:NYF219 NYB125:NYB219 NXX125:NXX219 NXT125:NXT219 NXP125:NXP219 NXL125:NXL219 NXH125:NXH219 NXD125:NXD219 NWZ125:NWZ219 NWV125:NWV219 NWR125:NWR219 NWN125:NWN219 NWJ125:NWJ219 NWF125:NWF219 NWB125:NWB219 NVX125:NVX219 NVT125:NVT219 NVP125:NVP219 NVL125:NVL219 NVH125:NVH219 NVD125:NVD219 NUZ125:NUZ219 NUV125:NUV219 NUR125:NUR219 NUN125:NUN219 NUJ125:NUJ219 NUF125:NUF219 NUB125:NUB219 NTX125:NTX219 NTT125:NTT219 NTP125:NTP219 NTL125:NTL219 NTH125:NTH219 NTD125:NTD219 NSZ125:NSZ219 NSV125:NSV219 NSR125:NSR219 NSN125:NSN219 NSJ125:NSJ219 NSF125:NSF219 NSB125:NSB219 NRX125:NRX219 NRT125:NRT219 NRP125:NRP219 NRL125:NRL219 NRH125:NRH219 NRD125:NRD219 NQZ125:NQZ219 NQV125:NQV219 NQR125:NQR219 NQN125:NQN219 NQJ125:NQJ219 NQF125:NQF219 NQB125:NQB219 NPX125:NPX219 NPT125:NPT219 NPP125:NPP219 NPL125:NPL219 NPH125:NPH219 NPD125:NPD219 NOZ125:NOZ219 NOV125:NOV219 NOR125:NOR219 NON125:NON219 NOJ125:NOJ219 NOF125:NOF219 NOB125:NOB219 NNX125:NNX219 NNT125:NNT219 NNP125:NNP219 NNL125:NNL219 NNH125:NNH219 NND125:NND219 NMZ125:NMZ219 NMV125:NMV219 NMR125:NMR219 NMN125:NMN219 NMJ125:NMJ219 NMF125:NMF219 NMB125:NMB219 NLX125:NLX219 NLT125:NLT219 NLP125:NLP219 NLL125:NLL219 NLH125:NLH219 NLD125:NLD219 NKZ125:NKZ219 NKV125:NKV219 NKR125:NKR219 NKN125:NKN219 NKJ125:NKJ219 NKF125:NKF219 NKB125:NKB219 NJX125:NJX219 NJT125:NJT219 NJP125:NJP219 NJL125:NJL219 NJH125:NJH219 NJD125:NJD219 NIZ125:NIZ219 NIV125:NIV219 NIR125:NIR219 NIN125:NIN219 NIJ125:NIJ219 NIF125:NIF219 NIB125:NIB219 NHX125:NHX219 NHT125:NHT219 NHP125:NHP219 NHL125:NHL219 NHH125:NHH219 NHD125:NHD219 NGZ125:NGZ219 NGV125:NGV219 NGR125:NGR219 NGN125:NGN219 NGJ125:NGJ219 NGF125:NGF219 NGB125:NGB219 NFX125:NFX219 NFT125:NFT219 NFP125:NFP219 NFL125:NFL219 NFH125:NFH219 NFD125:NFD219 NEZ125:NEZ219 NEV125:NEV219 NER125:NER219 NEN125:NEN219 NEJ125:NEJ219 NEF125:NEF219 NEB125:NEB219 NDX125:NDX219 NDT125:NDT219 NDP125:NDP219 NDL125:NDL219 NDH125:NDH219 NDD125:NDD219 NCZ125:NCZ219 NCV125:NCV219 NCR125:NCR219 NCN125:NCN219 NCJ125:NCJ219 NCF125:NCF219 NCB125:NCB219 NBX125:NBX219 NBT125:NBT219 NBP125:NBP219 NBL125:NBL219 NBH125:NBH219 NBD125:NBD219 NAZ125:NAZ219 NAV125:NAV219 NAR125:NAR219 NAN125:NAN219 NAJ125:NAJ219 NAF125:NAF219 NAB125:NAB219 MZX125:MZX219 MZT125:MZT219 MZP125:MZP219 MZL125:MZL219 MZH125:MZH219 MZD125:MZD219 MYZ125:MYZ219 MYV125:MYV219 MYR125:MYR219 MYN125:MYN219 MYJ125:MYJ219 MYF125:MYF219 MYB125:MYB219 MXX125:MXX219 MXT125:MXT219 MXP125:MXP219 MXL125:MXL219 MXH125:MXH219 MXD125:MXD219 MWZ125:MWZ219 MWV125:MWV219 MWR125:MWR219 MWN125:MWN219 MWJ125:MWJ219 MWF125:MWF219 MWB125:MWB219 MVX125:MVX219 MVT125:MVT219 MVP125:MVP219 MVL125:MVL219 MVH125:MVH219 MVD125:MVD219 MUZ125:MUZ219 MUV125:MUV219 MUR125:MUR219 MUN125:MUN219 MUJ125:MUJ219 MUF125:MUF219 MUB125:MUB219 MTX125:MTX219 MTT125:MTT219 MTP125:MTP219 MTL125:MTL219 MTH125:MTH219 MTD125:MTD219 MSZ125:MSZ219 MSV125:MSV219 MSR125:MSR219 MSN125:MSN219 MSJ125:MSJ219 MSF125:MSF219 MSB125:MSB219 MRX125:MRX219 MRT125:MRT219 MRP125:MRP219 MRL125:MRL219 MRH125:MRH219 MRD125:MRD219 MQZ125:MQZ219 MQV125:MQV219 MQR125:MQR219 MQN125:MQN219 MQJ125:MQJ219 MQF125:MQF219 MQB125:MQB219 MPX125:MPX219 MPT125:MPT219 MPP125:MPP219 MPL125:MPL219 MPH125:MPH219 MPD125:MPD219 MOZ125:MOZ219 MOV125:MOV219 MOR125:MOR219 MON125:MON219 MOJ125:MOJ219 MOF125:MOF219 MOB125:MOB219 MNX125:MNX219 MNT125:MNT219 MNP125:MNP219 MNL125:MNL219 MNH125:MNH219 MND125:MND219 MMZ125:MMZ219 MMV125:MMV219 MMR125:MMR219 MMN125:MMN219 MMJ125:MMJ219 MMF125:MMF219 MMB125:MMB219 MLX125:MLX219 MLT125:MLT219 MLP125:MLP219 MLL125:MLL219 MLH125:MLH219 MLD125:MLD219 MKZ125:MKZ219 MKV125:MKV219 MKR125:MKR219 MKN125:MKN219 MKJ125:MKJ219 MKF125:MKF219 MKB125:MKB219 MJX125:MJX219 MJT125:MJT219 MJP125:MJP219 MJL125:MJL219 MJH125:MJH219 MJD125:MJD219 MIZ125:MIZ219 MIV125:MIV219 MIR125:MIR219 MIN125:MIN219 MIJ125:MIJ219 MIF125:MIF219 MIB125:MIB219 MHX125:MHX219 MHT125:MHT219 MHP125:MHP219 MHL125:MHL219 MHH125:MHH219 MHD125:MHD219 MGZ125:MGZ219 MGV125:MGV219 MGR125:MGR219 MGN125:MGN219 MGJ125:MGJ219 MGF125:MGF219 MGB125:MGB219 MFX125:MFX219 MFT125:MFT219 MFP125:MFP219 MFL125:MFL219 MFH125:MFH219 MFD125:MFD219 MEZ125:MEZ219 MEV125:MEV219 MER125:MER219 MEN125:MEN219 MEJ125:MEJ219 MEF125:MEF219 MEB125:MEB219 MDX125:MDX219 MDT125:MDT219 MDP125:MDP219 MDL125:MDL219 MDH125:MDH219 MDD125:MDD219 MCZ125:MCZ219 MCV125:MCV219 MCR125:MCR219 MCN125:MCN219 MCJ125:MCJ219 MCF125:MCF219 MCB125:MCB219 MBX125:MBX219 MBT125:MBT219 MBP125:MBP219 MBL125:MBL219 MBH125:MBH219 MBD125:MBD219 MAZ125:MAZ219 MAV125:MAV219 MAR125:MAR219 MAN125:MAN219 MAJ125:MAJ219 MAF125:MAF219 MAB125:MAB219 LZX125:LZX219 LZT125:LZT219 LZP125:LZP219 LZL125:LZL219 LZH125:LZH219 LZD125:LZD219 LYZ125:LYZ219 LYV125:LYV219 LYR125:LYR219 LYN125:LYN219 LYJ125:LYJ219 LYF125:LYF219 LYB125:LYB219 LXX125:LXX219 LXT125:LXT219 LXP125:LXP219 LXL125:LXL219 LXH125:LXH219 LXD125:LXD219 LWZ125:LWZ219 LWV125:LWV219 LWR125:LWR219 LWN125:LWN219 LWJ125:LWJ219 LWF125:LWF219 LWB125:LWB219 LVX125:LVX219 LVT125:LVT219 LVP125:LVP219 LVL125:LVL219 LVH125:LVH219 LVD125:LVD219 LUZ125:LUZ219 LUV125:LUV219 LUR125:LUR219 LUN125:LUN219 LUJ125:LUJ219 LUF125:LUF219 LUB125:LUB219 LTX125:LTX219 LTT125:LTT219 LTP125:LTP219 LTL125:LTL219 LTH125:LTH219 LTD125:LTD219 LSZ125:LSZ219 LSV125:LSV219 LSR125:LSR219 LSN125:LSN219 LSJ125:LSJ219 LSF125:LSF219 LSB125:LSB219 LRX125:LRX219 LRT125:LRT219 LRP125:LRP219 LRL125:LRL219 LRH125:LRH219 LRD125:LRD219 LQZ125:LQZ219 LQV125:LQV219 LQR125:LQR219 LQN125:LQN219 LQJ125:LQJ219 LQF125:LQF219 LQB125:LQB219 LPX125:LPX219 LPT125:LPT219 LPP125:LPP219 LPL125:LPL219 LPH125:LPH219 LPD125:LPD219 LOZ125:LOZ219 LOV125:LOV219 LOR125:LOR219 LON125:LON219 LOJ125:LOJ219 LOF125:LOF219 LOB125:LOB219 LNX125:LNX219 LNT125:LNT219 LNP125:LNP219 LNL125:LNL219 LNH125:LNH219 LND125:LND219 LMZ125:LMZ219 LMV125:LMV219 LMR125:LMR219 LMN125:LMN219 LMJ125:LMJ219 LMF125:LMF219 LMB125:LMB219 LLX125:LLX219 LLT125:LLT219 LLP125:LLP219 LLL125:LLL219 LLH125:LLH219 LLD125:LLD219 LKZ125:LKZ219 LKV125:LKV219 LKR125:LKR219 LKN125:LKN219 LKJ125:LKJ219 LKF125:LKF219 LKB125:LKB219 LJX125:LJX219 LJT125:LJT219 LJP125:LJP219 LJL125:LJL219 LJH125:LJH219 LJD125:LJD219 LIZ125:LIZ219 LIV125:LIV219 LIR125:LIR219 LIN125:LIN219 LIJ125:LIJ219 LIF125:LIF219 LIB125:LIB219 LHX125:LHX219 LHT125:LHT219 LHP125:LHP219 LHL125:LHL219 LHH125:LHH219 LHD125:LHD219 LGZ125:LGZ219 LGV125:LGV219 LGR125:LGR219 LGN125:LGN219 LGJ125:LGJ219 LGF125:LGF219 LGB125:LGB219 LFX125:LFX219 LFT125:LFT219 LFP125:LFP219 LFL125:LFL219 LFH125:LFH219 LFD125:LFD219 LEZ125:LEZ219 LEV125:LEV219 LER125:LER219 LEN125:LEN219 LEJ125:LEJ219 LEF125:LEF219 LEB125:LEB219 LDX125:LDX219 LDT125:LDT219 LDP125:LDP219 LDL125:LDL219 LDH125:LDH219 LDD125:LDD219 LCZ125:LCZ219 LCV125:LCV219 LCR125:LCR219 LCN125:LCN219 LCJ125:LCJ219 LCF125:LCF219 LCB125:LCB219 LBX125:LBX219 LBT125:LBT219 LBP125:LBP219 LBL125:LBL219 LBH125:LBH219 LBD125:LBD219 LAZ125:LAZ219 LAV125:LAV219 LAR125:LAR219 LAN125:LAN219 LAJ125:LAJ219 LAF125:LAF219 LAB125:LAB219 KZX125:KZX219 KZT125:KZT219 KZP125:KZP219 KZL125:KZL219 KZH125:KZH219 KZD125:KZD219 KYZ125:KYZ219 KYV125:KYV219 KYR125:KYR219 KYN125:KYN219 KYJ125:KYJ219 KYF125:KYF219 KYB125:KYB219 KXX125:KXX219 KXT125:KXT219 KXP125:KXP219 KXL125:KXL219 KXH125:KXH219 KXD125:KXD219 KWZ125:KWZ219 KWV125:KWV219 KWR125:KWR219 KWN125:KWN219 KWJ125:KWJ219 KWF125:KWF219 KWB125:KWB219 KVX125:KVX219 KVT125:KVT219 KVP125:KVP219 KVL125:KVL219 KVH125:KVH219 KVD125:KVD219 KUZ125:KUZ219 KUV125:KUV219 KUR125:KUR219 KUN125:KUN219 KUJ125:KUJ219 KUF125:KUF219 KUB125:KUB219 KTX125:KTX219 KTT125:KTT219 KTP125:KTP219 KTL125:KTL219 KTH125:KTH219 KTD125:KTD219 KSZ125:KSZ219 KSV125:KSV219 KSR125:KSR219 KSN125:KSN219 KSJ125:KSJ219 KSF125:KSF219 KSB125:KSB219 KRX125:KRX219 KRT125:KRT219 KRP125:KRP219 KRL125:KRL219 KRH125:KRH219 KRD125:KRD219 KQZ125:KQZ219 KQV125:KQV219 KQR125:KQR219 KQN125:KQN219 KQJ125:KQJ219 KQF125:KQF219 KQB125:KQB219 KPX125:KPX219 KPT125:KPT219 KPP125:KPP219 KPL125:KPL219 KPH125:KPH219 KPD125:KPD219 KOZ125:KOZ219 KOV125:KOV219 KOR125:KOR219 KON125:KON219 KOJ125:KOJ219 KOF125:KOF219 KOB125:KOB219 KNX125:KNX219 KNT125:KNT219 KNP125:KNP219 KNL125:KNL219 KNH125:KNH219 KND125:KND219 KMZ125:KMZ219 KMV125:KMV219 KMR125:KMR219 KMN125:KMN219 KMJ125:KMJ219 KMF125:KMF219 KMB125:KMB219 KLX125:KLX219 KLT125:KLT219 KLP125:KLP219 KLL125:KLL219 KLH125:KLH219 KLD125:KLD219 KKZ125:KKZ219 KKV125:KKV219 KKR125:KKR219 KKN125:KKN219 KKJ125:KKJ219 KKF125:KKF219 KKB125:KKB219 KJX125:KJX219 KJT125:KJT219 KJP125:KJP219 KJL125:KJL219 KJH125:KJH219 KJD125:KJD219 KIZ125:KIZ219 KIV125:KIV219 KIR125:KIR219 KIN125:KIN219 KIJ125:KIJ219 KIF125:KIF219 KIB125:KIB219 KHX125:KHX219 KHT125:KHT219 KHP125:KHP219 KHL125:KHL219 KHH125:KHH219 KHD125:KHD219 KGZ125:KGZ219 KGV125:KGV219 KGR125:KGR219 KGN125:KGN219 KGJ125:KGJ219 KGF125:KGF219 KGB125:KGB219 KFX125:KFX219 KFT125:KFT219 KFP125:KFP219 KFL125:KFL219 KFH125:KFH219 KFD125:KFD219 KEZ125:KEZ219 KEV125:KEV219 KER125:KER219 KEN125:KEN219 KEJ125:KEJ219 KEF125:KEF219 KEB125:KEB219 KDX125:KDX219 KDT125:KDT219 KDP125:KDP219 KDL125:KDL219 KDH125:KDH219 KDD125:KDD219 KCZ125:KCZ219 KCV125:KCV219 KCR125:KCR219 KCN125:KCN219 KCJ125:KCJ219 KCF125:KCF219 KCB125:KCB219 KBX125:KBX219 KBT125:KBT219 KBP125:KBP219 KBL125:KBL219 KBH125:KBH219 KBD125:KBD219 KAZ125:KAZ219 KAV125:KAV219 KAR125:KAR219 KAN125:KAN219 KAJ125:KAJ219 KAF125:KAF219 KAB125:KAB219 JZX125:JZX219 JZT125:JZT219 JZP125:JZP219 JZL125:JZL219 JZH125:JZH219 JZD125:JZD219 JYZ125:JYZ219 JYV125:JYV219 JYR125:JYR219 JYN125:JYN219 JYJ125:JYJ219 JYF125:JYF219 JYB125:JYB219 JXX125:JXX219 JXT125:JXT219 JXP125:JXP219 JXL125:JXL219 JXH125:JXH219 JXD125:JXD219 JWZ125:JWZ219 JWV125:JWV219 JWR125:JWR219 JWN125:JWN219 JWJ125:JWJ219 JWF125:JWF219 JWB125:JWB219 JVX125:JVX219 JVT125:JVT219 JVP125:JVP219 JVL125:JVL219 JVH125:JVH219 JVD125:JVD219 JUZ125:JUZ219 JUV125:JUV219 JUR125:JUR219 JUN125:JUN219 JUJ125:JUJ219 JUF125:JUF219 JUB125:JUB219 JTX125:JTX219 JTT125:JTT219 JTP125:JTP219 JTL125:JTL219 JTH125:JTH219 JTD125:JTD219 JSZ125:JSZ219 JSV125:JSV219 JSR125:JSR219 JSN125:JSN219 JSJ125:JSJ219 JSF125:JSF219 JSB125:JSB219 JRX125:JRX219 JRT125:JRT219 JRP125:JRP219 JRL125:JRL219 JRH125:JRH219 JRD125:JRD219 JQZ125:JQZ219 JQV125:JQV219 JQR125:JQR219 JQN125:JQN219 JQJ125:JQJ219 JQF125:JQF219 JQB125:JQB219 JPX125:JPX219 JPT125:JPT219 JPP125:JPP219 JPL125:JPL219 JPH125:JPH219 JPD125:JPD219 JOZ125:JOZ219 JOV125:JOV219 JOR125:JOR219 JON125:JON219 JOJ125:JOJ219 JOF125:JOF219 JOB125:JOB219 JNX125:JNX219 JNT125:JNT219 JNP125:JNP219 JNL125:JNL219 JNH125:JNH219 JND125:JND219 JMZ125:JMZ219 JMV125:JMV219 JMR125:JMR219 JMN125:JMN219 JMJ125:JMJ219 JMF125:JMF219 JMB125:JMB219 JLX125:JLX219 JLT125:JLT219 JLP125:JLP219 JLL125:JLL219 JLH125:JLH219 JLD125:JLD219 JKZ125:JKZ219 JKV125:JKV219 JKR125:JKR219 JKN125:JKN219 JKJ125:JKJ219 JKF125:JKF219 JKB125:JKB219 JJX125:JJX219 JJT125:JJT219 JJP125:JJP219 JJL125:JJL219 JJH125:JJH219 JJD125:JJD219 JIZ125:JIZ219 JIV125:JIV219 JIR125:JIR219 JIN125:JIN219 JIJ125:JIJ219 JIF125:JIF219 JIB125:JIB219 JHX125:JHX219 JHT125:JHT219 JHP125:JHP219 JHL125:JHL219 JHH125:JHH219 JHD125:JHD219 JGZ125:JGZ219 JGV125:JGV219 JGR125:JGR219 JGN125:JGN219 JGJ125:JGJ219 JGF125:JGF219 JGB125:JGB219 JFX125:JFX219 JFT125:JFT219 JFP125:JFP219 JFL125:JFL219 JFH125:JFH219 JFD125:JFD219 JEZ125:JEZ219 JEV125:JEV219 JER125:JER219 JEN125:JEN219 JEJ125:JEJ219 JEF125:JEF219 JEB125:JEB219 JDX125:JDX219 JDT125:JDT219 JDP125:JDP219 JDL125:JDL219 JDH125:JDH219 JDD125:JDD219 JCZ125:JCZ219 JCV125:JCV219 JCR125:JCR219 JCN125:JCN219 JCJ125:JCJ219 JCF125:JCF219 JCB125:JCB219 JBX125:JBX219 JBT125:JBT219 JBP125:JBP219 JBL125:JBL219 JBH125:JBH219 JBD125:JBD219 JAZ125:JAZ219 JAV125:JAV219 JAR125:JAR219 JAN125:JAN219 JAJ125:JAJ219 JAF125:JAF219 JAB125:JAB219 IZX125:IZX219 IZT125:IZT219 IZP125:IZP219 IZL125:IZL219 IZH125:IZH219 IZD125:IZD219 IYZ125:IYZ219 IYV125:IYV219 IYR125:IYR219 IYN125:IYN219 IYJ125:IYJ219 IYF125:IYF219 IYB125:IYB219 IXX125:IXX219 IXT125:IXT219 IXP125:IXP219 IXL125:IXL219 IXH125:IXH219 IXD125:IXD219 IWZ125:IWZ219 IWV125:IWV219 IWR125:IWR219 IWN125:IWN219 IWJ125:IWJ219 IWF125:IWF219 IWB125:IWB219 IVX125:IVX219 IVT125:IVT219 IVP125:IVP219 IVL125:IVL219 IVH125:IVH219 IVD125:IVD219 IUZ125:IUZ219 IUV125:IUV219 IUR125:IUR219 IUN125:IUN219 IUJ125:IUJ219 IUF125:IUF219 IUB125:IUB219 ITX125:ITX219 ITT125:ITT219 ITP125:ITP219 ITL125:ITL219 ITH125:ITH219 ITD125:ITD219 ISZ125:ISZ219 ISV125:ISV219 ISR125:ISR219 ISN125:ISN219 ISJ125:ISJ219 ISF125:ISF219 ISB125:ISB219 IRX125:IRX219 IRT125:IRT219 IRP125:IRP219 IRL125:IRL219 IRH125:IRH219 IRD125:IRD219 IQZ125:IQZ219 IQV125:IQV219 IQR125:IQR219 IQN125:IQN219 IQJ125:IQJ219 IQF125:IQF219 IQB125:IQB219 IPX125:IPX219 IPT125:IPT219 IPP125:IPP219 IPL125:IPL219 IPH125:IPH219 IPD125:IPD219 IOZ125:IOZ219 IOV125:IOV219 IOR125:IOR219 ION125:ION219 IOJ125:IOJ219 IOF125:IOF219 IOB125:IOB219 INX125:INX219 INT125:INT219 INP125:INP219 INL125:INL219 INH125:INH219 IND125:IND219 IMZ125:IMZ219 IMV125:IMV219 IMR125:IMR219 IMN125:IMN219 IMJ125:IMJ219 IMF125:IMF219 IMB125:IMB219 ILX125:ILX219 ILT125:ILT219 ILP125:ILP219 ILL125:ILL219 ILH125:ILH219 ILD125:ILD219 IKZ125:IKZ219 IKV125:IKV219 IKR125:IKR219 IKN125:IKN219 IKJ125:IKJ219 IKF125:IKF219 IKB125:IKB219 IJX125:IJX219 IJT125:IJT219 IJP125:IJP219 IJL125:IJL219 IJH125:IJH219 IJD125:IJD219 IIZ125:IIZ219 IIV125:IIV219 IIR125:IIR219 IIN125:IIN219 IIJ125:IIJ219 IIF125:IIF219 IIB125:IIB219 IHX125:IHX219 IHT125:IHT219 IHP125:IHP219 IHL125:IHL219 IHH125:IHH219 IHD125:IHD219 IGZ125:IGZ219 IGV125:IGV219 IGR125:IGR219 IGN125:IGN219 IGJ125:IGJ219 IGF125:IGF219 IGB125:IGB219 IFX125:IFX219 IFT125:IFT219 IFP125:IFP219 IFL125:IFL219 IFH125:IFH219 IFD125:IFD219 IEZ125:IEZ219 IEV125:IEV219 IER125:IER219 IEN125:IEN219 IEJ125:IEJ219 IEF125:IEF219 IEB125:IEB219 IDX125:IDX219 IDT125:IDT219 IDP125:IDP219 IDL125:IDL219 IDH125:IDH219 IDD125:IDD219 ICZ125:ICZ219 ICV125:ICV219 ICR125:ICR219 ICN125:ICN219 ICJ125:ICJ219 ICF125:ICF219 ICB125:ICB219 IBX125:IBX219 IBT125:IBT219 IBP125:IBP219 IBL125:IBL219 IBH125:IBH219 IBD125:IBD219 IAZ125:IAZ219 IAV125:IAV219 IAR125:IAR219 IAN125:IAN219 IAJ125:IAJ219 IAF125:IAF219 IAB125:IAB219 HZX125:HZX219 HZT125:HZT219 HZP125:HZP219 HZL125:HZL219 HZH125:HZH219 HZD125:HZD219 HYZ125:HYZ219 HYV125:HYV219 HYR125:HYR219 HYN125:HYN219 HYJ125:HYJ219 HYF125:HYF219 HYB125:HYB219 HXX125:HXX219 HXT125:HXT219 HXP125:HXP219 HXL125:HXL219 HXH125:HXH219 HXD125:HXD219 HWZ125:HWZ219 HWV125:HWV219 HWR125:HWR219 HWN125:HWN219 HWJ125:HWJ219 HWF125:HWF219 HWB125:HWB219 HVX125:HVX219 HVT125:HVT219 HVP125:HVP219 HVL125:HVL219 HVH125:HVH219 HVD125:HVD219 HUZ125:HUZ219 HUV125:HUV219 HUR125:HUR219 HUN125:HUN219 HUJ125:HUJ219 HUF125:HUF219 HUB125:HUB219 HTX125:HTX219 HTT125:HTT219 HTP125:HTP219 HTL125:HTL219 HTH125:HTH219 HTD125:HTD219 HSZ125:HSZ219 HSV125:HSV219 HSR125:HSR219 HSN125:HSN219 HSJ125:HSJ219 HSF125:HSF219 HSB125:HSB219 HRX125:HRX219 HRT125:HRT219 HRP125:HRP219 HRL125:HRL219 HRH125:HRH219 HRD125:HRD219 HQZ125:HQZ219 HQV125:HQV219 HQR125:HQR219 HQN125:HQN219 HQJ125:HQJ219 HQF125:HQF219 HQB125:HQB219 HPX125:HPX219 HPT125:HPT219 HPP125:HPP219 HPL125:HPL219 HPH125:HPH219 HPD125:HPD219 HOZ125:HOZ219 HOV125:HOV219 HOR125:HOR219 HON125:HON219 HOJ125:HOJ219 HOF125:HOF219 HOB125:HOB219 HNX125:HNX219 HNT125:HNT219 HNP125:HNP219 HNL125:HNL219 HNH125:HNH219 HND125:HND219 HMZ125:HMZ219 HMV125:HMV219 HMR125:HMR219 HMN125:HMN219 HMJ125:HMJ219 HMF125:HMF219 HMB125:HMB219 HLX125:HLX219 HLT125:HLT219 HLP125:HLP219 HLL125:HLL219 HLH125:HLH219 HLD125:HLD219 HKZ125:HKZ219 HKV125:HKV219 HKR125:HKR219 HKN125:HKN219 HKJ125:HKJ219 HKF125:HKF219 HKB125:HKB219 HJX125:HJX219 HJT125:HJT219 HJP125:HJP219 HJL125:HJL219 HJH125:HJH219 HJD125:HJD219 HIZ125:HIZ219 HIV125:HIV219 HIR125:HIR219 HIN125:HIN219 HIJ125:HIJ219 HIF125:HIF219 HIB125:HIB219 HHX125:HHX219 HHT125:HHT219 HHP125:HHP219 HHL125:HHL219 HHH125:HHH219 HHD125:HHD219 HGZ125:HGZ219 HGV125:HGV219 HGR125:HGR219 HGN125:HGN219 HGJ125:HGJ219 HGF125:HGF219 HGB125:HGB219 HFX125:HFX219 HFT125:HFT219 HFP125:HFP219 HFL125:HFL219 HFH125:HFH219 HFD125:HFD219 HEZ125:HEZ219 HEV125:HEV219 HER125:HER219 HEN125:HEN219 HEJ125:HEJ219 HEF125:HEF219 HEB125:HEB219 HDX125:HDX219 HDT125:HDT219 HDP125:HDP219 HDL125:HDL219 HDH125:HDH219 HDD125:HDD219 HCZ125:HCZ219 HCV125:HCV219 HCR125:HCR219 HCN125:HCN219 HCJ125:HCJ219 HCF125:HCF219 HCB125:HCB219 HBX125:HBX219 HBT125:HBT219 HBP125:HBP219 HBL125:HBL219 HBH125:HBH219 HBD125:HBD219 HAZ125:HAZ219 HAV125:HAV219 HAR125:HAR219 HAN125:HAN219 HAJ125:HAJ219 HAF125:HAF219 HAB125:HAB219 GZX125:GZX219 GZT125:GZT219 GZP125:GZP219 GZL125:GZL219 GZH125:GZH219 GZD125:GZD219 GYZ125:GYZ219 GYV125:GYV219 GYR125:GYR219 GYN125:GYN219 GYJ125:GYJ219 GYF125:GYF219 GYB125:GYB219 GXX125:GXX219 GXT125:GXT219 GXP125:GXP219 GXL125:GXL219 GXH125:GXH219 GXD125:GXD219 GWZ125:GWZ219 GWV125:GWV219 GWR125:GWR219 GWN125:GWN219 GWJ125:GWJ219 GWF125:GWF219 GWB125:GWB219 GVX125:GVX219 GVT125:GVT219 GVP125:GVP219 GVL125:GVL219 GVH125:GVH219 GVD125:GVD219 GUZ125:GUZ219 GUV125:GUV219 GUR125:GUR219 GUN125:GUN219 GUJ125:GUJ219 GUF125:GUF219 GUB125:GUB219 GTX125:GTX219 GTT125:GTT219 GTP125:GTP219 GTL125:GTL219 GTH125:GTH219 GTD125:GTD219 GSZ125:GSZ219 GSV125:GSV219 GSR125:GSR219 GSN125:GSN219 GSJ125:GSJ219 GSF125:GSF219 GSB125:GSB219 GRX125:GRX219 GRT125:GRT219 GRP125:GRP219 GRL125:GRL219 GRH125:GRH219 GRD125:GRD219 GQZ125:GQZ219 GQV125:GQV219 GQR125:GQR219 GQN125:GQN219 GQJ125:GQJ219 GQF125:GQF219 GQB125:GQB219 GPX125:GPX219 GPT125:GPT219 GPP125:GPP219 GPL125:GPL219 GPH125:GPH219 GPD125:GPD219 GOZ125:GOZ219 GOV125:GOV219 GOR125:GOR219 GON125:GON219 GOJ125:GOJ219 GOF125:GOF219 GOB125:GOB219 GNX125:GNX219 GNT125:GNT219 GNP125:GNP219 GNL125:GNL219 GNH125:GNH219 GND125:GND219 GMZ125:GMZ219 GMV125:GMV219 GMR125:GMR219 GMN125:GMN219 GMJ125:GMJ219 GMF125:GMF219 GMB125:GMB219 GLX125:GLX219 GLT125:GLT219 GLP125:GLP219 GLL125:GLL219 GLH125:GLH219 GLD125:GLD219 GKZ125:GKZ219 GKV125:GKV219 GKR125:GKR219 GKN125:GKN219 GKJ125:GKJ219 GKF125:GKF219 GKB125:GKB219 GJX125:GJX219 GJT125:GJT219 GJP125:GJP219 GJL125:GJL219 GJH125:GJH219 GJD125:GJD219 GIZ125:GIZ219 GIV125:GIV219 GIR125:GIR219 GIN125:GIN219 GIJ125:GIJ219 GIF125:GIF219 GIB125:GIB219 GHX125:GHX219 GHT125:GHT219 GHP125:GHP219 GHL125:GHL219 GHH125:GHH219 GHD125:GHD219 GGZ125:GGZ219 GGV125:GGV219 GGR125:GGR219 GGN125:GGN219 GGJ125:GGJ219 GGF125:GGF219 GGB125:GGB219 GFX125:GFX219 GFT125:GFT219 GFP125:GFP219 GFL125:GFL219 GFH125:GFH219 GFD125:GFD219 GEZ125:GEZ219 GEV125:GEV219 GER125:GER219 GEN125:GEN219 GEJ125:GEJ219 GEF125:GEF219 GEB125:GEB219 GDX125:GDX219 GDT125:GDT219 GDP125:GDP219 GDL125:GDL219 GDH125:GDH219 GDD125:GDD219 GCZ125:GCZ219 GCV125:GCV219 GCR125:GCR219 GCN125:GCN219 GCJ125:GCJ219 GCF125:GCF219 GCB125:GCB219 GBX125:GBX219 GBT125:GBT219 GBP125:GBP219 GBL125:GBL219 GBH125:GBH219 GBD125:GBD219 GAZ125:GAZ219 GAV125:GAV219 GAR125:GAR219 GAN125:GAN219 GAJ125:GAJ219 GAF125:GAF219 GAB125:GAB219 FZX125:FZX219 FZT125:FZT219 FZP125:FZP219 FZL125:FZL219 FZH125:FZH219 FZD125:FZD219 FYZ125:FYZ219 FYV125:FYV219 FYR125:FYR219 FYN125:FYN219 FYJ125:FYJ219 FYF125:FYF219 FYB125:FYB219 FXX125:FXX219 FXT125:FXT219 FXP125:FXP219 FXL125:FXL219 FXH125:FXH219 FXD125:FXD219 FWZ125:FWZ219 FWV125:FWV219 FWR125:FWR219 FWN125:FWN219 FWJ125:FWJ219 FWF125:FWF219 FWB125:FWB219 FVX125:FVX219 FVT125:FVT219 FVP125:FVP219 FVL125:FVL219 FVH125:FVH219 FVD125:FVD219 FUZ125:FUZ219 FUV125:FUV219 FUR125:FUR219 FUN125:FUN219 FUJ125:FUJ219 FUF125:FUF219 FUB125:FUB219 FTX125:FTX219 FTT125:FTT219 FTP125:FTP219 FTL125:FTL219 FTH125:FTH219 FTD125:FTD219 FSZ125:FSZ219 FSV125:FSV219 FSR125:FSR219 FSN125:FSN219 FSJ125:FSJ219 FSF125:FSF219 FSB125:FSB219 FRX125:FRX219 FRT125:FRT219 FRP125:FRP219 FRL125:FRL219 FRH125:FRH219 FRD125:FRD219 FQZ125:FQZ219 FQV125:FQV219 FQR125:FQR219 FQN125:FQN219 FQJ125:FQJ219 FQF125:FQF219 FQB125:FQB219 FPX125:FPX219 FPT125:FPT219 FPP125:FPP219 FPL125:FPL219 FPH125:FPH219 FPD125:FPD219 FOZ125:FOZ219 FOV125:FOV219 FOR125:FOR219 FON125:FON219 FOJ125:FOJ219 FOF125:FOF219 FOB125:FOB219 FNX125:FNX219 FNT125:FNT219 FNP125:FNP219 FNL125:FNL219 FNH125:FNH219 FND125:FND219 FMZ125:FMZ219 FMV125:FMV219 FMR125:FMR219 FMN125:FMN219 FMJ125:FMJ219 FMF125:FMF219 FMB125:FMB219 FLX125:FLX219 FLT125:FLT219 FLP125:FLP219 FLL125:FLL219 FLH125:FLH219 FLD125:FLD219 FKZ125:FKZ219 FKV125:FKV219 FKR125:FKR219 FKN125:FKN219 FKJ125:FKJ219 FKF125:FKF219 FKB125:FKB219 FJX125:FJX219 FJT125:FJT219 FJP125:FJP219 FJL125:FJL219 FJH125:FJH219 FJD125:FJD219 FIZ125:FIZ219 FIV125:FIV219 FIR125:FIR219 FIN125:FIN219 FIJ125:FIJ219 FIF125:FIF219 FIB125:FIB219 FHX125:FHX219 FHT125:FHT219 FHP125:FHP219 FHL125:FHL219 FHH125:FHH219 FHD125:FHD219 FGZ125:FGZ219 FGV125:FGV219 FGR125:FGR219 FGN125:FGN219 FGJ125:FGJ219 FGF125:FGF219 FGB125:FGB219 FFX125:FFX219 FFT125:FFT219 FFP125:FFP219 FFL125:FFL219 FFH125:FFH219 FFD125:FFD219 FEZ125:FEZ219 FEV125:FEV219 FER125:FER219 FEN125:FEN219 FEJ125:FEJ219 FEF125:FEF219 FEB125:FEB219 FDX125:FDX219 FDT125:FDT219 FDP125:FDP219 FDL125:FDL219 FDH125:FDH219 FDD125:FDD219 FCZ125:FCZ219 FCV125:FCV219 FCR125:FCR219 FCN125:FCN219 FCJ125:FCJ219 FCF125:FCF219 FCB125:FCB219 FBX125:FBX219 FBT125:FBT219 FBP125:FBP219 FBL125:FBL219 FBH125:FBH219 FBD125:FBD219 FAZ125:FAZ219 FAV125:FAV219 FAR125:FAR219 FAN125:FAN219 FAJ125:FAJ219 FAF125:FAF219 FAB125:FAB219 EZX125:EZX219 EZT125:EZT219 EZP125:EZP219 EZL125:EZL219 EZH125:EZH219 EZD125:EZD219 EYZ125:EYZ219 EYV125:EYV219 EYR125:EYR219 EYN125:EYN219 EYJ125:EYJ219 EYF125:EYF219 EYB125:EYB219 EXX125:EXX219 EXT125:EXT219 EXP125:EXP219 EXL125:EXL219 EXH125:EXH219 EXD125:EXD219 EWZ125:EWZ219 EWV125:EWV219 EWR125:EWR219 EWN125:EWN219 EWJ125:EWJ219 EWF125:EWF219 EWB125:EWB219 EVX125:EVX219 EVT125:EVT219 EVP125:EVP219 EVL125:EVL219 EVH125:EVH219 EVD125:EVD219 EUZ125:EUZ219 EUV125:EUV219 EUR125:EUR219 EUN125:EUN219 EUJ125:EUJ219 EUF125:EUF219 EUB125:EUB219 ETX125:ETX219 ETT125:ETT219 ETP125:ETP219 ETL125:ETL219 ETH125:ETH219 ETD125:ETD219 ESZ125:ESZ219 ESV125:ESV219 ESR125:ESR219 ESN125:ESN219 ESJ125:ESJ219 ESF125:ESF219 ESB125:ESB219 ERX125:ERX219 ERT125:ERT219 ERP125:ERP219 ERL125:ERL219 ERH125:ERH219 ERD125:ERD219 EQZ125:EQZ219 EQV125:EQV219 EQR125:EQR219 EQN125:EQN219 EQJ125:EQJ219 EQF125:EQF219 EQB125:EQB219 EPX125:EPX219 EPT125:EPT219 EPP125:EPP219 EPL125:EPL219 EPH125:EPH219 EPD125:EPD219 EOZ125:EOZ219 EOV125:EOV219 EOR125:EOR219 EON125:EON219 EOJ125:EOJ219 EOF125:EOF219 EOB125:EOB219 ENX125:ENX219 ENT125:ENT219 ENP125:ENP219 ENL125:ENL219 ENH125:ENH219 END125:END219 EMZ125:EMZ219 EMV125:EMV219 EMR125:EMR219 EMN125:EMN219 EMJ125:EMJ219 EMF125:EMF219 EMB125:EMB219 ELX125:ELX219 ELT125:ELT219 ELP125:ELP219 ELL125:ELL219 ELH125:ELH219 ELD125:ELD219 EKZ125:EKZ219 EKV125:EKV219 EKR125:EKR219 EKN125:EKN219 EKJ125:EKJ219 EKF125:EKF219 EKB125:EKB219 EJX125:EJX219 EJT125:EJT219 EJP125:EJP219 EJL125:EJL219 EJH125:EJH219 EJD125:EJD219 EIZ125:EIZ219 EIV125:EIV219 EIR125:EIR219 EIN125:EIN219 EIJ125:EIJ219 EIF125:EIF219 EIB125:EIB219 EHX125:EHX219 EHT125:EHT219 EHP125:EHP219 EHL125:EHL219 EHH125:EHH219 EHD125:EHD219 EGZ125:EGZ219 EGV125:EGV219 EGR125:EGR219 EGN125:EGN219 EGJ125:EGJ219 EGF125:EGF219 EGB125:EGB219 EFX125:EFX219 EFT125:EFT219 EFP125:EFP219 EFL125:EFL219 EFH125:EFH219 EFD125:EFD219 EEZ125:EEZ219 EEV125:EEV219 EER125:EER219 EEN125:EEN219 EEJ125:EEJ219 EEF125:EEF219 EEB125:EEB219 EDX125:EDX219 EDT125:EDT219 EDP125:EDP219 EDL125:EDL219 EDH125:EDH219 EDD125:EDD219 ECZ125:ECZ219 ECV125:ECV219 ECR125:ECR219 ECN125:ECN219 ECJ125:ECJ219 ECF125:ECF219 ECB125:ECB219 EBX125:EBX219 EBT125:EBT219 EBP125:EBP219 EBL125:EBL219 EBH125:EBH219 EBD125:EBD219 EAZ125:EAZ219 EAV125:EAV219 EAR125:EAR219 EAN125:EAN219 EAJ125:EAJ219 EAF125:EAF219 EAB125:EAB219 DZX125:DZX219 DZT125:DZT219 DZP125:DZP219 DZL125:DZL219 DZH125:DZH219 DZD125:DZD219 DYZ125:DYZ219 DYV125:DYV219 DYR125:DYR219 DYN125:DYN219 DYJ125:DYJ219 DYF125:DYF219 DYB125:DYB219 DXX125:DXX219 DXT125:DXT219 DXP125:DXP219 DXL125:DXL219 DXH125:DXH219 DXD125:DXD219 DWZ125:DWZ219 DWV125:DWV219 DWR125:DWR219 DWN125:DWN219 DWJ125:DWJ219 DWF125:DWF219 DWB125:DWB219 DVX125:DVX219 DVT125:DVT219 DVP125:DVP219 DVL125:DVL219 DVH125:DVH219 DVD125:DVD219 DUZ125:DUZ219 DUV125:DUV219 DUR125:DUR219 DUN125:DUN219 DUJ125:DUJ219 DUF125:DUF219 DUB125:DUB219 DTX125:DTX219 DTT125:DTT219 DTP125:DTP219 DTL125:DTL219 DTH125:DTH219 DTD125:DTD219 DSZ125:DSZ219 DSV125:DSV219 DSR125:DSR219 DSN125:DSN219 DSJ125:DSJ219 DSF125:DSF219 DSB125:DSB219 DRX125:DRX219 DRT125:DRT219 DRP125:DRP219 DRL125:DRL219 DRH125:DRH219 DRD125:DRD219 DQZ125:DQZ219 DQV125:DQV219 DQR125:DQR219 DQN125:DQN219 DQJ125:DQJ219 DQF125:DQF219 DQB125:DQB219 DPX125:DPX219 DPT125:DPT219 DPP125:DPP219 DPL125:DPL219 DPH125:DPH219 DPD125:DPD219 DOZ125:DOZ219 DOV125:DOV219 DOR125:DOR219 DON125:DON219 DOJ125:DOJ219 DOF125:DOF219 DOB125:DOB219 DNX125:DNX219 DNT125:DNT219 DNP125:DNP219 DNL125:DNL219 DNH125:DNH219 DND125:DND219 DMZ125:DMZ219 DMV125:DMV219 DMR125:DMR219 DMN125:DMN219 DMJ125:DMJ219 DMF125:DMF219 DMB125:DMB219 DLX125:DLX219 DLT125:DLT219 DLP125:DLP219 DLL125:DLL219 DLH125:DLH219 DLD125:DLD219 DKZ125:DKZ219 DKV125:DKV219 DKR125:DKR219 DKN125:DKN219 DKJ125:DKJ219 DKF125:DKF219 DKB125:DKB219 DJX125:DJX219 DJT125:DJT219 DJP125:DJP219 DJL125:DJL219 DJH125:DJH219 DJD125:DJD219 DIZ125:DIZ219 DIV125:DIV219 DIR125:DIR219 DIN125:DIN219 DIJ125:DIJ219 DIF125:DIF219 DIB125:DIB219 DHX125:DHX219 DHT125:DHT219 DHP125:DHP219 DHL125:DHL219 DHH125:DHH219 DHD125:DHD219 DGZ125:DGZ219 DGV125:DGV219 DGR125:DGR219 DGN125:DGN219 DGJ125:DGJ219 DGF125:DGF219 DGB125:DGB219 DFX125:DFX219 DFT125:DFT219 DFP125:DFP219 DFL125:DFL219 DFH125:DFH219 DFD125:DFD219 DEZ125:DEZ219 DEV125:DEV219 DER125:DER219 DEN125:DEN219 DEJ125:DEJ219 DEF125:DEF219 DEB125:DEB219 DDX125:DDX219 DDT125:DDT219 DDP125:DDP219 DDL125:DDL219 DDH125:DDH219 DDD125:DDD219 DCZ125:DCZ219 DCV125:DCV219 DCR125:DCR219 DCN125:DCN219 DCJ125:DCJ219 DCF125:DCF219 DCB125:DCB219 DBX125:DBX219 DBT125:DBT219 DBP125:DBP219 DBL125:DBL219 DBH125:DBH219 DBD125:DBD219 DAZ125:DAZ219 DAV125:DAV219 DAR125:DAR219 DAN125:DAN219 DAJ125:DAJ219 DAF125:DAF219 DAB125:DAB219 CZX125:CZX219 CZT125:CZT219 CZP125:CZP219 CZL125:CZL219 CZH125:CZH219 CZD125:CZD219 CYZ125:CYZ219 CYV125:CYV219 CYR125:CYR219 CYN125:CYN219 CYJ125:CYJ219 CYF125:CYF219 CYB125:CYB219 CXX125:CXX219 CXT125:CXT219 CXP125:CXP219 CXL125:CXL219 CXH125:CXH219 CXD125:CXD219 CWZ125:CWZ219 CWV125:CWV219 CWR125:CWR219 CWN125:CWN219 CWJ125:CWJ219 CWF125:CWF219 CWB125:CWB219 CVX125:CVX219 CVT125:CVT219 CVP125:CVP219 CVL125:CVL219 CVH125:CVH219 CVD125:CVD219 CUZ125:CUZ219 CUV125:CUV219 CUR125:CUR219 CUN125:CUN219 CUJ125:CUJ219 CUF125:CUF219 CUB125:CUB219 CTX125:CTX219 CTT125:CTT219 CTP125:CTP219 CTL125:CTL219 CTH125:CTH219 CTD125:CTD219 CSZ125:CSZ219 CSV125:CSV219 CSR125:CSR219 CSN125:CSN219 CSJ125:CSJ219 CSF125:CSF219 CSB125:CSB219 CRX125:CRX219 CRT125:CRT219 CRP125:CRP219 CRL125:CRL219 CRH125:CRH219 CRD125:CRD219 CQZ125:CQZ219 CQV125:CQV219 CQR125:CQR219 CQN125:CQN219 CQJ125:CQJ219 CQF125:CQF219 CQB125:CQB219 CPX125:CPX219 CPT125:CPT219 CPP125:CPP219 CPL125:CPL219 CPH125:CPH219 CPD125:CPD219 COZ125:COZ219 COV125:COV219 COR125:COR219 CON125:CON219 COJ125:COJ219 COF125:COF219 COB125:COB219 CNX125:CNX219 CNT125:CNT219 CNP125:CNP219 CNL125:CNL219 CNH125:CNH219 CND125:CND219 CMZ125:CMZ219 CMV125:CMV219 CMR125:CMR219 CMN125:CMN219 CMJ125:CMJ219 CMF125:CMF219 CMB125:CMB219 CLX125:CLX219 CLT125:CLT219 CLP125:CLP219 CLL125:CLL219 CLH125:CLH219 CLD125:CLD219 CKZ125:CKZ219 CKV125:CKV219 CKR125:CKR219 CKN125:CKN219 CKJ125:CKJ219 CKF125:CKF219 CKB125:CKB219 CJX125:CJX219 CJT125:CJT219 CJP125:CJP219 CJL125:CJL219 CJH125:CJH219 CJD125:CJD219 CIZ125:CIZ219 CIV125:CIV219 CIR125:CIR219 CIN125:CIN219 CIJ125:CIJ219 CIF125:CIF219 CIB125:CIB219 CHX125:CHX219 CHT125:CHT219 CHP125:CHP219 CHL125:CHL219 CHH125:CHH219 CHD125:CHD219 CGZ125:CGZ219 CGV125:CGV219 CGR125:CGR219 CGN125:CGN219 CGJ125:CGJ219 CGF125:CGF219 CGB125:CGB219 CFX125:CFX219 CFT125:CFT219 CFP125:CFP219 CFL125:CFL219 CFH125:CFH219 CFD125:CFD219 CEZ125:CEZ219 CEV125:CEV219 CER125:CER219 CEN125:CEN219 CEJ125:CEJ219 CEF125:CEF219 CEB125:CEB219 CDX125:CDX219 CDT125:CDT219 CDP125:CDP219 CDL125:CDL219 CDH125:CDH219 CDD125:CDD219 CCZ125:CCZ219 CCV125:CCV219 CCR125:CCR219 CCN125:CCN219 CCJ125:CCJ219 CCF125:CCF219 CCB125:CCB219 CBX125:CBX219 CBT125:CBT219 CBP125:CBP219 CBL125:CBL219 CBH125:CBH219 CBD125:CBD219 CAZ125:CAZ219 CAV125:CAV219 CAR125:CAR219 CAN125:CAN219 CAJ125:CAJ219 CAF125:CAF219 CAB125:CAB219 BZX125:BZX219 BZT125:BZT219 BZP125:BZP219 BZL125:BZL219 BZH125:BZH219 BZD125:BZD219 BYZ125:BYZ219 BYV125:BYV219 BYR125:BYR219 BYN125:BYN219 BYJ125:BYJ219 BYF125:BYF219 BYB125:BYB219 BXX125:BXX219 BXT125:BXT219 BXP125:BXP219 BXL125:BXL219 BXH125:BXH219 BXD125:BXD219 BWZ125:BWZ219 BWV125:BWV219 BWR125:BWR219 BWN125:BWN219 BWJ125:BWJ219 BWF125:BWF219 BWB125:BWB219 BVX125:BVX219 BVT125:BVT219 BVP125:BVP219 BVL125:BVL219 BVH125:BVH219 BVD125:BVD219 BUZ125:BUZ219 BUV125:BUV219 BUR125:BUR219 BUN125:BUN219 BUJ125:BUJ219 BUF125:BUF219 BUB125:BUB219 BTX125:BTX219 BTT125:BTT219 BTP125:BTP219 BTL125:BTL219 BTH125:BTH219 BTD125:BTD219 BSZ125:BSZ219 BSV125:BSV219 BSR125:BSR219 BSN125:BSN219 BSJ125:BSJ219 BSF125:BSF219 BSB125:BSB219 BRX125:BRX219 BRT125:BRT219 BRP125:BRP219 BRL125:BRL219 BRH125:BRH219 BRD125:BRD219 BQZ125:BQZ219 BQV125:BQV219 BQR125:BQR219 BQN125:BQN219 BQJ125:BQJ219 BQF125:BQF219 BQB125:BQB219 BPX125:BPX219 BPT125:BPT219 BPP125:BPP219 BPL125:BPL219 BPH125:BPH219 BPD125:BPD219 BOZ125:BOZ219 BOV125:BOV219 BOR125:BOR219 BON125:BON219 BOJ125:BOJ219 BOF125:BOF219 BOB125:BOB219 BNX125:BNX219 BNT125:BNT219 BNP125:BNP219 BNL125:BNL219 BNH125:BNH219 BND125:BND219 BMZ125:BMZ219 BMV125:BMV219 BMR125:BMR219 BMN125:BMN219 BMJ125:BMJ219 BMF125:BMF219 BMB125:BMB219 BLX125:BLX219 BLT125:BLT219 BLP125:BLP219 BLL125:BLL219 BLH125:BLH219 BLD125:BLD219 BKZ125:BKZ219 BKV125:BKV219 BKR125:BKR219 BKN125:BKN219 BKJ125:BKJ219 BKF125:BKF219 BKB125:BKB219 BJX125:BJX219 BJT125:BJT219 BJP125:BJP219 BJL125:BJL219 BJH125:BJH219 BJD125:BJD219 BIZ125:BIZ219 BIV125:BIV219 BIR125:BIR219 BIN125:BIN219 BIJ125:BIJ219 BIF125:BIF219 BIB125:BIB219 BHX125:BHX219 BHT125:BHT219 BHP125:BHP219 BHL125:BHL219 BHH125:BHH219 BHD125:BHD219 BGZ125:BGZ219 BGV125:BGV219 BGR125:BGR219 BGN125:BGN219 BGJ125:BGJ219 BGF125:BGF219 BGB125:BGB219 BFX125:BFX219 BFT125:BFT219 BFP125:BFP219 BFL125:BFL219 BFH125:BFH219 BFD125:BFD219 BEZ125:BEZ219 BEV125:BEV219 BER125:BER219 BEN125:BEN219 BEJ125:BEJ219 BEF125:BEF219 BEB125:BEB219 BDX125:BDX219 BDT125:BDT219 BDP125:BDP219 BDL125:BDL219 BDH125:BDH219 BDD125:BDD219 BCZ125:BCZ219 BCV125:BCV219 BCR125:BCR219 BCN125:BCN219 BCJ125:BCJ219 BCF125:BCF219 BCB125:BCB219 BBX125:BBX219 BBT125:BBT219 BBP125:BBP219 BBL125:BBL219 BBH125:BBH219 BBD125:BBD219 BAZ125:BAZ219 BAV125:BAV219 BAR125:BAR219 BAN125:BAN219 BAJ125:BAJ219 BAF125:BAF219 BAB125:BAB219 AZX125:AZX219 AZT125:AZT219 AZP125:AZP219 AZL125:AZL219 AZH125:AZH219 AZD125:AZD219 AYZ125:AYZ219 AYV125:AYV219 AYR125:AYR219 AYN125:AYN219 AYJ125:AYJ219 AYF125:AYF219 AYB125:AYB219 AXX125:AXX219 AXT125:AXT219 AXP125:AXP219 AXL125:AXL219 AXH125:AXH219 AXD125:AXD219 AWZ125:AWZ219 AWV125:AWV219 AWR125:AWR219 AWN125:AWN219 AWJ125:AWJ219 AWF125:AWF219 AWB125:AWB219 AVX125:AVX219 AVT125:AVT219 AVP125:AVP219 AVL125:AVL219 AVH125:AVH219 AVD125:AVD219 AUZ125:AUZ219 AUV125:AUV219 AUR125:AUR219 AUN125:AUN219 AUJ125:AUJ219 AUF125:AUF219 AUB125:AUB219 ATX125:ATX219 ATT125:ATT219 ATP125:ATP219 ATL125:ATL219 ATH125:ATH219 ATD125:ATD219 ASZ125:ASZ219 ASV125:ASV219 ASR125:ASR219 ASN125:ASN219 ASJ125:ASJ219 ASF125:ASF219 ASB125:ASB219 ARX125:ARX219 ART125:ART219 ARP125:ARP219 ARL125:ARL219 ARH125:ARH219 ARD125:ARD219 AQZ125:AQZ219 AQV125:AQV219 AQR125:AQR219 AQN125:AQN219 AQJ125:AQJ219 AQF125:AQF219 AQB125:AQB219 APX125:APX219 APT125:APT219 APP125:APP219 APL125:APL219 APH125:APH219 APD125:APD219 AOZ125:AOZ219 AOV125:AOV219 AOR125:AOR219 AON125:AON219 AOJ125:AOJ219 AOF125:AOF219 AOB125:AOB219 ANX125:ANX219 ANT125:ANT219 ANP125:ANP219 ANL125:ANL219 ANH125:ANH219 AND125:AND219 AMZ125:AMZ219 AMV125:AMV219 AMR125:AMR219 AMN125:AMN219 AMJ125:AMJ219 AMF125:AMF219 AMB125:AMB219 ALX125:ALX219 ALT125:ALT219 ALP125:ALP219 ALL125:ALL219 ALH125:ALH219 ALD125:ALD219 AKZ125:AKZ219 AKV125:AKV219 AKR125:AKR219 AKN125:AKN219 AKJ125:AKJ219 AKF125:AKF219 AKB125:AKB219 AJX125:AJX219 AJT125:AJT219 AJP125:AJP219 AJL125:AJL219 AJH125:AJH219 AJD125:AJD219 AIZ125:AIZ219 AIV125:AIV219 AIR125:AIR219 AIN125:AIN219 AIJ125:AIJ219 AIF125:AIF219 AIB125:AIB219 AHX125:AHX219 AHT125:AHT219 AHP125:AHP219 AHL125:AHL219 AHH125:AHH219 AHD125:AHD219 AGZ125:AGZ219 AGV125:AGV219 AGR125:AGR219 AGN125:AGN219 AGJ125:AGJ219 AGF125:AGF219 AGB125:AGB219 AFX125:AFX219 AFT125:AFT219 AFP125:AFP219 AFL125:AFL219 AFH125:AFH219 AFD125:AFD219 AEZ125:AEZ219 AEV125:AEV219 AER125:AER219 AEN125:AEN219 AEJ125:AEJ219 AEF125:AEF219 AEB125:AEB219 ADX125:ADX219 ADT125:ADT219 ADP125:ADP219 ADL125:ADL219 ADH125:ADH219 ADD125:ADD219 ACZ125:ACZ219 ACV125:ACV219 ACR125:ACR219 ACN125:ACN219 ACJ125:ACJ219 ACF125:ACF219 ACB125:ACB219 ABX125:ABX219 ABT125:ABT219 ABP125:ABP219 ABL125:ABL219 ABH125:ABH219 ABD125:ABD219 AAZ125:AAZ219 AAV125:AAV219 AAR125:AAR219 AAN125:AAN219 AAJ125:AAJ219 AAF125:AAF219 AAB125:AAB219 ZX125:ZX219 ZT125:ZT219 ZP125:ZP219 ZL125:ZL219 ZH125:ZH219 ZD125:ZD219 YZ125:YZ219 YV125:YV219 YR125:YR219 YN125:YN219 YJ125:YJ219 YF125:YF219 YB125:YB219 XX125:XX219 XT125:XT219 XP125:XP219 XL125:XL219 XH125:XH219 XD125:XD219 WZ125:WZ219 WV125:WV219 WR125:WR219 WN125:WN219 WJ125:WJ219 WF125:WF219 WB125:WB219 VX125:VX219 VT125:VT219 VP125:VP219 VL125:VL219 VH125:VH219 VD125:VD219 UZ125:UZ219 UV125:UV219 UR125:UR219 UN125:UN219 UJ125:UJ219 UF125:UF219 UB125:UB219 TX125:TX219 TT125:TT219 TP125:TP219 TL125:TL219 TH125:TH219 TD125:TD219 SZ125:SZ219 SV125:SV219 SR125:SR219 SN125:SN219 SJ125:SJ219 SF125:SF219 SB125:SB219 RX125:RX219 RT125:RT219 RP125:RP219 RL125:RL219 RH125:RH219 RD125:RD219 QZ125:QZ219 QV125:QV219 QR125:QR219 QN125:QN219 QJ125:QJ219 QF125:QF219 QB125:QB219 PX125:PX219 PT125:PT219 PP125:PP219 PL125:PL219 PH125:PH219 PD125:PD219 OZ125:OZ219 OV125:OV219 OR125:OR219 ON125:ON219 OJ125:OJ219 OF125:OF219 OB125:OB219 NX125:NX219 NT125:NT219 NP125:NP219 NL125:NL219 NH125:NH219 ND125:ND219 MZ125:MZ219 MV125:MV219 MR125:MR219 MN125:MN219 MJ125:MJ219 MF125:MF219 MB125:MB219 LX125:LX219 LT125:LT219 LP125:LP219 LL125:LL219 LH125:LH219 LD125:LD219 KZ125:KZ219 KV125:KV219 KR125:KR219 KN125:KN219 KJ125:KJ219 KF125:KF219 KB125:KB219 JX125:JX219 JT125:JT219 JP125:JP219 JL125:JL219 JH125:JH219 JD125:JD219 IZ125:IZ219 IV125:IV219 IR125:IR219 IN125:IN219 IJ125:IJ219 IF125:IF219 IB125:IB219 HX125:HX219 HT125:HT219 HP125:HP219 HL125:HL219 HH125:HH219 HD125:HD219 GZ125:GZ219 GV125:GV219 GR125:GR219 GN125:GN219 GJ125:GJ219 GF125:GF219 GB125:GB219 FX125:FX219 FT125:FT219 FP125:FP219 FL125:FL219 FH125:FH219 FD125:FD219 EZ125:EZ219 EV125:EV219 ER125:ER219 EN125:EN219 EJ125:EJ219 EF125:EF219 EB125:EB219 DX125:DX219 DT125:DT219 DP125:DP219 DL125:DL219 DH125:DH219 DD125:DD219 CZ125:CZ219 CV125:CV219 CR125:CR219 CN125:CN219 CJ125:CJ219 CF125:CF219 CB125:CB219 BX125:BX219 BT125:BT219 BP125:BP219 BL125:BL219 BH125:BH219 BD125:BD219 AZ125:AZ219 AV125:AV219 AR125:AR219 AN125:AN219 AJ125:AJ219 AF125:AF219 AB125:AB219 X125:X219 T125:T219 P125:P219 L125:L219 G8:G219">
    <cfRule type="cellIs" dxfId="74" priority="145" operator="between">
      <formula>63</formula>
      <formula>65</formula>
    </cfRule>
    <cfRule type="cellIs" dxfId="73" priority="146" operator="between">
      <formula>60</formula>
      <formula>63</formula>
    </cfRule>
    <cfRule type="cellIs" dxfId="72" priority="147" operator="between">
      <formula>55</formula>
      <formula>60</formula>
    </cfRule>
    <cfRule type="cellIs" dxfId="71" priority="148" operator="between">
      <formula>50</formula>
      <formula>55</formula>
    </cfRule>
    <cfRule type="cellIs" dxfId="70" priority="149" operator="between">
      <formula>45</formula>
      <formula>50</formula>
    </cfRule>
    <cfRule type="cellIs" dxfId="69" priority="150" operator="between">
      <formula>40</formula>
      <formula>45</formula>
    </cfRule>
    <cfRule type="cellIs" dxfId="68" priority="151" operator="between">
      <formula>30</formula>
      <formula>40</formula>
    </cfRule>
  </conditionalFormatting>
  <conditionalFormatting sqref="C226:D227 C150:D151 C124:D125 C94:D95 C73:D74 C40:D41 C56:D57 C12:D13 C26:D27">
    <cfRule type="expression" dxfId="67" priority="144">
      <formula>#REF!="SUMÁCIA:"</formula>
    </cfRule>
  </conditionalFormatting>
  <conditionalFormatting sqref="C226:D227">
    <cfRule type="expression" dxfId="66" priority="142">
      <formula>$E226="VB"</formula>
    </cfRule>
    <cfRule type="expression" dxfId="65" priority="143">
      <formula>#REF!="SUMÁCIA:"</formula>
    </cfRule>
  </conditionalFormatting>
  <conditionalFormatting sqref="C36:D39 C42:D45">
    <cfRule type="expression" dxfId="64" priority="141">
      <formula>$A36="SUMÁCIA:"</formula>
    </cfRule>
  </conditionalFormatting>
  <conditionalFormatting sqref="C43:D45">
    <cfRule type="expression" dxfId="63" priority="139">
      <formula>$E43="VB"</formula>
    </cfRule>
    <cfRule type="expression" dxfId="62" priority="140">
      <formula>$A43="SUMÁCIA:"</formula>
    </cfRule>
  </conditionalFormatting>
  <conditionalFormatting sqref="C40:D41">
    <cfRule type="expression" dxfId="61" priority="137">
      <formula>$E40="VB"</formula>
    </cfRule>
    <cfRule type="expression" dxfId="60" priority="138">
      <formula>#REF!="SUMÁCIA:"</formula>
    </cfRule>
  </conditionalFormatting>
  <conditionalFormatting sqref="C52:D55 C58:D61">
    <cfRule type="expression" dxfId="59" priority="136">
      <formula>$A52="SUMÁCIA:"</formula>
    </cfRule>
  </conditionalFormatting>
  <conditionalFormatting sqref="C59:D61">
    <cfRule type="expression" dxfId="58" priority="134">
      <formula>$E59="VB"</formula>
    </cfRule>
    <cfRule type="expression" dxfId="57" priority="135">
      <formula>$A59="SUMÁCIA:"</formula>
    </cfRule>
  </conditionalFormatting>
  <conditionalFormatting sqref="C56:D57">
    <cfRule type="expression" dxfId="56" priority="132">
      <formula>$E56="VB"</formula>
    </cfRule>
    <cfRule type="expression" dxfId="55" priority="133">
      <formula>#REF!="SUMÁCIA:"</formula>
    </cfRule>
  </conditionalFormatting>
  <conditionalFormatting sqref="C69:D72 C75:D78">
    <cfRule type="expression" dxfId="54" priority="131">
      <formula>$A69="SUMÁCIA:"</formula>
    </cfRule>
  </conditionalFormatting>
  <conditionalFormatting sqref="C76:D78">
    <cfRule type="expression" dxfId="53" priority="129">
      <formula>$E76="VB"</formula>
    </cfRule>
    <cfRule type="expression" dxfId="52" priority="130">
      <formula>$A76="SUMÁCIA:"</formula>
    </cfRule>
  </conditionalFormatting>
  <conditionalFormatting sqref="C73:D74">
    <cfRule type="expression" dxfId="51" priority="127">
      <formula>$E73="VB"</formula>
    </cfRule>
    <cfRule type="expression" dxfId="50" priority="128">
      <formula>#REF!="SUMÁCIA:"</formula>
    </cfRule>
  </conditionalFormatting>
  <conditionalFormatting sqref="C90:D93 C96:D99">
    <cfRule type="expression" dxfId="49" priority="126">
      <formula>$A90="SUMÁCIA:"</formula>
    </cfRule>
  </conditionalFormatting>
  <conditionalFormatting sqref="C97:D99">
    <cfRule type="expression" dxfId="48" priority="124">
      <formula>$E97="VB"</formula>
    </cfRule>
    <cfRule type="expression" dxfId="47" priority="125">
      <formula>$A97="SUMÁCIA:"</formula>
    </cfRule>
  </conditionalFormatting>
  <conditionalFormatting sqref="C94:D95">
    <cfRule type="expression" dxfId="46" priority="122">
      <formula>$E94="VB"</formula>
    </cfRule>
    <cfRule type="expression" dxfId="45" priority="123">
      <formula>#REF!="SUMÁCIA:"</formula>
    </cfRule>
  </conditionalFormatting>
  <conditionalFormatting sqref="C120:D123 C126:D129">
    <cfRule type="expression" dxfId="44" priority="121">
      <formula>$A120="SUMÁCIA:"</formula>
    </cfRule>
  </conditionalFormatting>
  <conditionalFormatting sqref="C127:D129">
    <cfRule type="expression" dxfId="43" priority="119">
      <formula>$E127="VB"</formula>
    </cfRule>
    <cfRule type="expression" dxfId="42" priority="120">
      <formula>$A127="SUMÁCIA:"</formula>
    </cfRule>
  </conditionalFormatting>
  <conditionalFormatting sqref="C124:D125">
    <cfRule type="expression" dxfId="41" priority="117">
      <formula>$E124="VB"</formula>
    </cfRule>
    <cfRule type="expression" dxfId="40" priority="118">
      <formula>#REF!="SUMÁCIA:"</formula>
    </cfRule>
  </conditionalFormatting>
  <conditionalFormatting sqref="C8:D11">
    <cfRule type="expression" dxfId="39" priority="107">
      <formula>$A8="SUMÁCIA:"</formula>
    </cfRule>
  </conditionalFormatting>
  <conditionalFormatting sqref="C12:D13">
    <cfRule type="expression" dxfId="38" priority="103">
      <formula>$E12="VB"</formula>
    </cfRule>
    <cfRule type="expression" dxfId="37" priority="104">
      <formula>#REF!="SUMÁCIA:"</formula>
    </cfRule>
  </conditionalFormatting>
  <conditionalFormatting sqref="C26:D27">
    <cfRule type="expression" dxfId="36" priority="100">
      <formula>$E26="VB"</formula>
    </cfRule>
    <cfRule type="expression" dxfId="35" priority="101">
      <formula>#REF!="SUMÁCIA:"</formula>
    </cfRule>
  </conditionalFormatting>
  <conditionalFormatting sqref="G3:G219">
    <cfRule type="cellIs" dxfId="34" priority="99" operator="greaterThan">
      <formula>65</formula>
    </cfRule>
  </conditionalFormatting>
  <conditionalFormatting sqref="C146:D149">
    <cfRule type="expression" dxfId="33" priority="97">
      <formula>$A146="SUMÁCIA:"</formula>
    </cfRule>
  </conditionalFormatting>
  <conditionalFormatting sqref="C150:D151">
    <cfRule type="expression" dxfId="32" priority="93">
      <formula>$E150="VB"</formula>
    </cfRule>
    <cfRule type="expression" dxfId="31" priority="94">
      <formula>#REF!="SUMÁCIA:"</formula>
    </cfRule>
  </conditionalFormatting>
  <conditionalFormatting sqref="C168:D169 C182:D183 C197:D198">
    <cfRule type="expression" dxfId="30" priority="92">
      <formula>#REF!="SUMÁCIA:"</formula>
    </cfRule>
  </conditionalFormatting>
  <conditionalFormatting sqref="C168:D169">
    <cfRule type="expression" dxfId="29" priority="90">
      <formula>$E168="VB"</formula>
    </cfRule>
    <cfRule type="expression" dxfId="28" priority="91">
      <formula>#REF!="SUMÁCIA:"</formula>
    </cfRule>
  </conditionalFormatting>
  <conditionalFormatting sqref="C182:D183">
    <cfRule type="expression" dxfId="27" priority="87">
      <formula>$E182="VB"</formula>
    </cfRule>
    <cfRule type="expression" dxfId="26" priority="88">
      <formula>#REF!="SUMÁCIA:"</formula>
    </cfRule>
  </conditionalFormatting>
  <conditionalFormatting sqref="C197:D198">
    <cfRule type="expression" dxfId="25" priority="84">
      <formula>$E197="VB"</formula>
    </cfRule>
    <cfRule type="expression" dxfId="24" priority="85">
      <formula>#REF!="SUMÁCIA:"</formula>
    </cfRule>
  </conditionalFormatting>
  <conditionalFormatting sqref="C212:D213">
    <cfRule type="expression" dxfId="23" priority="83">
      <formula>#REF!="SUMÁCIA:"</formula>
    </cfRule>
  </conditionalFormatting>
  <conditionalFormatting sqref="C212:D213">
    <cfRule type="expression" dxfId="22" priority="81">
      <formula>$E212="VB"</formula>
    </cfRule>
    <cfRule type="expression" dxfId="21" priority="82">
      <formula>#REF!="SUMÁCIA:"</formula>
    </cfRule>
  </conditionalFormatting>
  <conditionalFormatting sqref="Q142:Q143">
    <cfRule type="cellIs" dxfId="20" priority="2" operator="greaterThan">
      <formula>2500</formula>
    </cfRule>
    <cfRule type="cellIs" dxfId="19" priority="3" operator="between">
      <formula>1800</formula>
      <formula>2500</formula>
    </cfRule>
    <cfRule type="cellIs" dxfId="18" priority="4" operator="between">
      <formula>1200</formula>
      <formula>1800</formula>
    </cfRule>
    <cfRule type="cellIs" dxfId="17" priority="5" operator="between">
      <formula>700</formula>
      <formula>1200</formula>
    </cfRule>
    <cfRule type="cellIs" dxfId="16" priority="6" operator="between">
      <formula>350</formula>
      <formula>700</formula>
    </cfRule>
    <cfRule type="cellIs" dxfId="15" priority="7" operator="between">
      <formula>50</formula>
      <formula>350</formula>
    </cfRule>
    <cfRule type="cellIs" dxfId="14" priority="8" operator="between">
      <formula>10</formula>
      <formula>50</formula>
    </cfRule>
    <cfRule type="cellIs" dxfId="13" priority="9" operator="between">
      <formula>1</formula>
      <formula>10</formula>
    </cfRule>
  </conditionalFormatting>
  <conditionalFormatting sqref="Q142:Q143">
    <cfRule type="containsBlanks" dxfId="12" priority="1">
      <formula>LEN(TRIM(Q142))=0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6" filterMode="1"/>
  <dimension ref="A1:AG35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8" sqref="C18"/>
    </sheetView>
  </sheetViews>
  <sheetFormatPr defaultRowHeight="14.4" x14ac:dyDescent="0.3"/>
  <cols>
    <col min="1" max="1" width="12.88671875" customWidth="1"/>
    <col min="2" max="11" width="8.88671875" style="1" customWidth="1"/>
    <col min="12" max="13" width="8.88671875" style="3" customWidth="1"/>
    <col min="14" max="14" width="8.77734375" style="3" customWidth="1"/>
    <col min="15" max="15" width="8.88671875" style="2" customWidth="1"/>
    <col min="16" max="16" width="7.6640625" style="2" customWidth="1"/>
    <col min="17" max="17" width="8.88671875" style="2" customWidth="1"/>
    <col min="18" max="18" width="8.88671875" style="6" customWidth="1"/>
    <col min="19" max="21" width="10.6640625" style="6" customWidth="1"/>
    <col min="22" max="22" width="10.5546875" style="6" customWidth="1"/>
    <col min="23" max="23" width="10.5546875" style="7" customWidth="1"/>
    <col min="24" max="24" width="10" style="7" customWidth="1"/>
    <col min="25" max="25" width="10.5546875" style="7" customWidth="1"/>
    <col min="26" max="26" width="10.44140625" customWidth="1"/>
    <col min="27" max="27" width="11.44140625" style="8" customWidth="1"/>
    <col min="28" max="28" width="11.109375" style="10" customWidth="1"/>
    <col min="29" max="29" width="10.44140625" style="10" customWidth="1"/>
    <col min="30" max="30" width="10" style="12" customWidth="1"/>
    <col min="31" max="31" width="10.44140625" style="12" customWidth="1"/>
    <col min="32" max="32" width="10.5546875" customWidth="1"/>
    <col min="33" max="33" width="10" customWidth="1"/>
  </cols>
  <sheetData>
    <row r="1" spans="1:33" ht="16.2" thickBot="1" x14ac:dyDescent="0.35">
      <c r="A1" s="51" t="s">
        <v>1</v>
      </c>
      <c r="B1" s="535" t="s">
        <v>2</v>
      </c>
      <c r="C1" s="536"/>
      <c r="D1" s="536"/>
      <c r="E1" s="536"/>
      <c r="F1" s="536"/>
      <c r="G1" s="536"/>
      <c r="H1" s="536"/>
      <c r="I1" s="537"/>
      <c r="J1" s="532" t="s">
        <v>5</v>
      </c>
      <c r="K1" s="533"/>
      <c r="L1" s="534"/>
      <c r="M1" s="538" t="s">
        <v>36</v>
      </c>
      <c r="N1" s="539"/>
      <c r="O1" s="539"/>
      <c r="P1" s="539"/>
      <c r="Q1" s="539"/>
      <c r="R1" s="540"/>
      <c r="S1" s="529" t="s">
        <v>7</v>
      </c>
      <c r="T1" s="530"/>
      <c r="U1" s="531"/>
      <c r="V1" s="443" t="s">
        <v>10</v>
      </c>
      <c r="W1" s="527"/>
      <c r="X1" s="527"/>
      <c r="Y1" s="527"/>
      <c r="Z1" s="527"/>
      <c r="AA1" s="528"/>
      <c r="AB1" s="524" t="s">
        <v>14</v>
      </c>
      <c r="AC1" s="525"/>
      <c r="AD1" s="525"/>
      <c r="AE1" s="525"/>
      <c r="AF1" s="526"/>
    </row>
    <row r="2" spans="1:33" s="41" customFormat="1" ht="29.4" thickBot="1" x14ac:dyDescent="0.35">
      <c r="A2" s="106"/>
      <c r="B2" s="52" t="s">
        <v>3</v>
      </c>
      <c r="C2" s="38" t="s">
        <v>4</v>
      </c>
      <c r="D2" s="38" t="s">
        <v>204</v>
      </c>
      <c r="E2" s="38" t="s">
        <v>203</v>
      </c>
      <c r="F2" s="38" t="s">
        <v>6</v>
      </c>
      <c r="G2" s="38" t="s">
        <v>92</v>
      </c>
      <c r="H2" s="107" t="s">
        <v>118</v>
      </c>
      <c r="I2" s="108" t="s">
        <v>119</v>
      </c>
      <c r="J2" s="313" t="s">
        <v>20</v>
      </c>
      <c r="K2" s="39" t="s">
        <v>21</v>
      </c>
      <c r="L2" s="314" t="s">
        <v>88</v>
      </c>
      <c r="M2" s="125" t="s">
        <v>38</v>
      </c>
      <c r="N2" s="41" t="s">
        <v>122</v>
      </c>
      <c r="O2" s="126" t="s">
        <v>37</v>
      </c>
      <c r="P2" s="126" t="s">
        <v>87</v>
      </c>
      <c r="Q2" s="126" t="s">
        <v>120</v>
      </c>
      <c r="R2" s="127" t="s">
        <v>121</v>
      </c>
      <c r="S2" s="54" t="s">
        <v>8</v>
      </c>
      <c r="T2" s="23" t="s">
        <v>9</v>
      </c>
      <c r="U2" s="54" t="s">
        <v>89</v>
      </c>
      <c r="V2" s="4" t="s">
        <v>11</v>
      </c>
      <c r="W2" s="81" t="s">
        <v>44</v>
      </c>
      <c r="X2" s="5" t="s">
        <v>12</v>
      </c>
      <c r="Y2" s="5" t="s">
        <v>43</v>
      </c>
      <c r="Z2" s="90" t="s">
        <v>96</v>
      </c>
      <c r="AA2" s="128" t="s">
        <v>198</v>
      </c>
      <c r="AB2" s="53" t="s">
        <v>22</v>
      </c>
      <c r="AC2" s="129" t="s">
        <v>123</v>
      </c>
      <c r="AD2" s="9" t="s">
        <v>17</v>
      </c>
      <c r="AE2" s="11" t="s">
        <v>205</v>
      </c>
      <c r="AF2" s="13" t="s">
        <v>18</v>
      </c>
      <c r="AG2" s="40"/>
    </row>
    <row r="3" spans="1:33" s="274" customFormat="1" x14ac:dyDescent="0.3">
      <c r="A3" s="290" t="s">
        <v>23</v>
      </c>
      <c r="B3" s="257">
        <f>MAX('Január-December'!E3:E33)</f>
        <v>5.7</v>
      </c>
      <c r="C3" s="256">
        <f>IFERROR(MIN('Január-December'!F3:F33),"")</f>
        <v>-17.3</v>
      </c>
      <c r="D3" s="256">
        <f>MAX('Január-December'!G3:G33)</f>
        <v>12.200000000000001</v>
      </c>
      <c r="E3" s="256">
        <f>MIN('Január-December'!G3:G33)</f>
        <v>2.2000000000000002</v>
      </c>
      <c r="F3" s="256">
        <f>IFERROR(AVERAGE('Január-December'!H3:H33),"")</f>
        <v>-2.9766129032258068</v>
      </c>
      <c r="G3" s="256">
        <f>IFERROR(AVERAGE('Január-December'!I3:I33),"")</f>
        <v>-2.9806451612903229</v>
      </c>
      <c r="H3" s="256">
        <f>MAX('Január-December'!H3:H33)</f>
        <v>2.2249999999999996</v>
      </c>
      <c r="I3" s="258">
        <f>MIN('Január-December'!H3:H33)</f>
        <v>-11.324999999999999</v>
      </c>
      <c r="J3" s="257">
        <f>MAX('Január-December'!J3:J33)</f>
        <v>0.32911688500608399</v>
      </c>
      <c r="K3" s="256">
        <f>MIN('Január-December'!K3:K33)</f>
        <v>-23.1156724480275</v>
      </c>
      <c r="L3" s="258">
        <f>IFERROR(AVERAGE('Január-December'!L3:L33),"")</f>
        <v>-7.5772039470667103</v>
      </c>
      <c r="M3" s="259">
        <f>MAX('Január-December'!M3:M33)</f>
        <v>85</v>
      </c>
      <c r="N3" s="260">
        <f>COUNTIF('Január-December'!M3:M33,"99")</f>
        <v>0</v>
      </c>
      <c r="O3" s="261">
        <f>MIN('Január-December'!N3:N33)</f>
        <v>49.857142857142897</v>
      </c>
      <c r="P3" s="261">
        <f>IFERROR(AVERAGE('Január-December'!O3:O33),"")</f>
        <v>70.964534585766899</v>
      </c>
      <c r="Q3" s="261">
        <f>MAX('Január-December'!O3:O33)</f>
        <v>83.060639880952365</v>
      </c>
      <c r="R3" s="262">
        <f>MIN('Január-December'!O3:O33)</f>
        <v>61.792658730158713</v>
      </c>
      <c r="S3" s="263">
        <f>MAX('Január-December'!P3:P33)</f>
        <v>1030.11047923765</v>
      </c>
      <c r="T3" s="264">
        <f>MIN('Január-December'!Q3:Q33)</f>
        <v>986.95295946399199</v>
      </c>
      <c r="U3" s="265">
        <f>IFERROR(AVERAGE('Január-December'!R3:R33),"")</f>
        <v>1011.2852940458188</v>
      </c>
      <c r="V3" s="266">
        <f>MAX('Január-December'!S3:S33)</f>
        <v>13.9</v>
      </c>
      <c r="W3" s="267">
        <f>MAX('Január-December'!T3:T33)</f>
        <v>8.4857564680987636</v>
      </c>
      <c r="X3" s="267">
        <f>IFERROR(AVERAGE('Január-December'!U3:U33),"")</f>
        <v>1.6290322580645158</v>
      </c>
      <c r="Y3" s="267">
        <f>MAX('Január-December'!U3:U33)</f>
        <v>3.4</v>
      </c>
      <c r="Z3" s="267">
        <f>MIN('Január-December'!U3:U33)</f>
        <v>0.3</v>
      </c>
      <c r="AA3" s="292" t="s">
        <v>234</v>
      </c>
      <c r="AB3" s="268">
        <f>MAX('Január-December'!X3:X33)</f>
        <v>1.2</v>
      </c>
      <c r="AC3" s="269">
        <f>MAX('Január-December'!Y3:Y33)</f>
        <v>8</v>
      </c>
      <c r="AD3" s="270">
        <f>SUM('Január-December'!Y3:Y33)</f>
        <v>42.600000000000009</v>
      </c>
      <c r="AE3" s="271">
        <f>MAX('Január-December'!Z3:Z33)</f>
        <v>7.5</v>
      </c>
      <c r="AF3" s="272">
        <f>MAX('Január-December'!AA3:AA33)</f>
        <v>16</v>
      </c>
      <c r="AG3" s="273"/>
    </row>
    <row r="4" spans="1:33" s="283" customFormat="1" x14ac:dyDescent="0.3">
      <c r="A4" s="291" t="s">
        <v>24</v>
      </c>
      <c r="B4" s="257">
        <f>MAX('Január-December'!E34:E61)</f>
        <v>13.2</v>
      </c>
      <c r="C4" s="256">
        <f>MIN('Január-December'!F34:F61)</f>
        <v>-7.8</v>
      </c>
      <c r="D4" s="256">
        <f>MAX('Január-December'!G34:G61)</f>
        <v>18.3</v>
      </c>
      <c r="E4" s="256">
        <f>MIN('Január-December'!G34:G61)</f>
        <v>2.7</v>
      </c>
      <c r="F4" s="256">
        <f>IFERROR(AVERAGE('Január-December'!H34:H61),"")</f>
        <v>1.9616071428571427</v>
      </c>
      <c r="G4" s="256">
        <f>IFERROR(AVERAGE('Január-December'!I34:I61),"")</f>
        <v>2.0107142857142857</v>
      </c>
      <c r="H4" s="256">
        <f>MAX('Január-December'!H34:H61)</f>
        <v>5.8999999999999995</v>
      </c>
      <c r="I4" s="258">
        <f>MIN('Január-December'!H34:H61)</f>
        <v>-3.0249999999999999</v>
      </c>
      <c r="J4" s="257">
        <f>MAX('Január-December'!J34:J61)</f>
        <v>3.93297141249497</v>
      </c>
      <c r="K4" s="256">
        <f>MIN('Január-December'!K34:K61)</f>
        <v>-15.6846999170352</v>
      </c>
      <c r="L4" s="258">
        <f>IFERROR(AVERAGE('Január-December'!L34:L61),"")</f>
        <v>-3.7308833730902577</v>
      </c>
      <c r="M4" s="259">
        <f>MAX('Január-December'!M34:M61)</f>
        <v>88</v>
      </c>
      <c r="N4" s="260">
        <f>COUNTIF('Január-December'!M34:M61,"99")</f>
        <v>0</v>
      </c>
      <c r="O4" s="261">
        <f>MIN('Január-December'!N34:N61)</f>
        <v>35</v>
      </c>
      <c r="P4" s="261">
        <f>IFERROR(AVERAGE('Január-December'!O34:O61),"")</f>
        <v>67.332059523746466</v>
      </c>
      <c r="Q4" s="261">
        <f>MAX('Január-December'!O34:O61)</f>
        <v>81.763144841269821</v>
      </c>
      <c r="R4" s="262">
        <f>MIN('Január-December'!O34:O61)</f>
        <v>45.72662450396826</v>
      </c>
      <c r="S4" s="263">
        <f>MAX('Január-December'!P34:P61)</f>
        <v>1044.4000000000001</v>
      </c>
      <c r="T4" s="264">
        <f>MIN('Január-December'!Q34:Q61)</f>
        <v>1001.31830350288</v>
      </c>
      <c r="U4" s="265">
        <f>IFERROR(AVERAGE('Január-December'!R34:R61),"")</f>
        <v>1022.589538969058</v>
      </c>
      <c r="V4" s="275">
        <f>MAX('Január-December'!S34:S61)</f>
        <v>14.6</v>
      </c>
      <c r="W4" s="276">
        <f>MAX('Január-December'!T34:T61)</f>
        <v>9.1643312698406945</v>
      </c>
      <c r="X4" s="276">
        <f>IFERROR(AVERAGE('Január-December'!U34:U61),"")</f>
        <v>1.6750000000000005</v>
      </c>
      <c r="Y4" s="276">
        <f>MAX('Január-December'!U34:U61)</f>
        <v>3.6</v>
      </c>
      <c r="Z4" s="276">
        <f>MIN('Január-December'!U34:U61)</f>
        <v>0.4</v>
      </c>
      <c r="AA4" s="293" t="s">
        <v>227</v>
      </c>
      <c r="AB4" s="277">
        <f>MAX('Január-December'!X34:X61)</f>
        <v>2.4</v>
      </c>
      <c r="AC4" s="278">
        <f>MAX('Január-December'!Y34:Y61)</f>
        <v>4.9000000000000004</v>
      </c>
      <c r="AD4" s="279">
        <f>SUM('Január-December'!Y34:Y61)</f>
        <v>12.9</v>
      </c>
      <c r="AE4" s="280">
        <f>MAX('Január-December'!Z34:Z61)</f>
        <v>4</v>
      </c>
      <c r="AF4" s="281">
        <f>MAX('Január-December'!AA34:AA61)</f>
        <v>10</v>
      </c>
      <c r="AG4" s="282"/>
    </row>
    <row r="5" spans="1:33" s="283" customFormat="1" x14ac:dyDescent="0.3">
      <c r="A5" s="291" t="s">
        <v>25</v>
      </c>
      <c r="B5" s="257">
        <f>MAX('Január-December'!E62:E92)</f>
        <v>23</v>
      </c>
      <c r="C5" s="256">
        <f>MIN('Január-December'!F62:F92)</f>
        <v>-6.4</v>
      </c>
      <c r="D5" s="256">
        <f>MAX('Január-December'!G62:G92)</f>
        <v>24.8</v>
      </c>
      <c r="E5" s="256">
        <f>MIN('Január-December'!G62:G92)</f>
        <v>7.3999999999999995</v>
      </c>
      <c r="F5" s="256">
        <f>IFERROR(AVERAGE('Január-December'!H62:H92),"")</f>
        <v>6.4217741935483881</v>
      </c>
      <c r="G5" s="256">
        <f>IFERROR(AVERAGE('Január-December'!I62:I92),"")</f>
        <v>6.6838709677419343</v>
      </c>
      <c r="H5" s="256">
        <f>MAX('Január-December'!H62:H92)</f>
        <v>10.649999999999999</v>
      </c>
      <c r="I5" s="258">
        <f>MIN('Január-December'!H62:H92)</f>
        <v>0.32500000000000018</v>
      </c>
      <c r="J5" s="257">
        <f>MAX('Január-December'!J62:J92)</f>
        <v>7.2994117418954199</v>
      </c>
      <c r="K5" s="256">
        <f>MIN('Január-December'!K62:K92)</f>
        <v>-10.8524662042584</v>
      </c>
      <c r="L5" s="258">
        <f>IFERROR(AVERAGE('Január-December'!L62:L92),"")</f>
        <v>-1.1799655765118413</v>
      </c>
      <c r="M5" s="259">
        <f>MAX('Január-December'!M62:M92)</f>
        <v>95.714285714285694</v>
      </c>
      <c r="N5" s="260">
        <f>COUNTIF('Január-December'!M62:M92,"99")</f>
        <v>0</v>
      </c>
      <c r="O5" s="261">
        <f>MIN('Január-December'!N62:N92)</f>
        <v>15</v>
      </c>
      <c r="P5" s="261">
        <f>IFERROR(AVERAGE('Január-December'!O62:O92),"")</f>
        <v>60.418165391149635</v>
      </c>
      <c r="Q5" s="261">
        <f>MAX('Január-December'!O62:O92)</f>
        <v>74.464347718253961</v>
      </c>
      <c r="R5" s="262">
        <f>MIN('Január-December'!O62:O92)</f>
        <v>48.132688492063487</v>
      </c>
      <c r="S5" s="263">
        <f>MAX('Január-December'!P62:P92)</f>
        <v>1035.3730567661701</v>
      </c>
      <c r="T5" s="264">
        <f>MIN('Január-December'!Q62:Q92)</f>
        <v>996.29342785858205</v>
      </c>
      <c r="U5" s="265">
        <f>IFERROR(AVERAGE('Január-December'!R62:R92),"")</f>
        <v>1016.3222178741163</v>
      </c>
      <c r="V5" s="275">
        <f>MAX('Január-December'!S62:S92)</f>
        <v>17</v>
      </c>
      <c r="W5" s="276">
        <f>MAX('Január-December'!T62:T92)</f>
        <v>9.2973676454453464</v>
      </c>
      <c r="X5" s="276">
        <f>IFERROR(AVERAGE('Január-December'!U62:U92),"")</f>
        <v>1.9580645161290318</v>
      </c>
      <c r="Y5" s="276">
        <f>MAX('Január-December'!U62:U92)</f>
        <v>4.0999999999999996</v>
      </c>
      <c r="Z5" s="276">
        <f>MIN('Január-December'!U62:U92)</f>
        <v>0.8</v>
      </c>
      <c r="AA5" s="293" t="s">
        <v>231</v>
      </c>
      <c r="AB5" s="277">
        <f>MAX('Január-December'!X62:X92)</f>
        <v>6</v>
      </c>
      <c r="AC5" s="278">
        <f>MAX('Január-December'!Y62:Y92)</f>
        <v>5.4</v>
      </c>
      <c r="AD5" s="279">
        <f>SUM('Január-December'!Y62:Y92)</f>
        <v>11.4</v>
      </c>
      <c r="AE5" s="280">
        <f>MAX('Január-December'!Z62:Z92)</f>
        <v>0</v>
      </c>
      <c r="AF5" s="281">
        <f>MAX('Január-December'!AA62:AA92)</f>
        <v>0</v>
      </c>
      <c r="AG5" s="282"/>
    </row>
    <row r="6" spans="1:33" s="283" customFormat="1" ht="13.8" customHeight="1" x14ac:dyDescent="0.3">
      <c r="A6" s="291" t="s">
        <v>26</v>
      </c>
      <c r="B6" s="257">
        <f>MAX('Január-December'!E93:E122)</f>
        <v>27.1</v>
      </c>
      <c r="C6" s="256">
        <f>MIN('Január-December'!F93:F122)</f>
        <v>-5.2</v>
      </c>
      <c r="D6" s="256">
        <f>MAX('Január-December'!G93:G122)</f>
        <v>24.299999999999997</v>
      </c>
      <c r="E6" s="256">
        <f>MIN('Január-December'!G93:G122)</f>
        <v>2.3999999999999986</v>
      </c>
      <c r="F6" s="256">
        <f>IFERROR(AVERAGE('Január-December'!H93:H122),"")</f>
        <v>10.817499999999999</v>
      </c>
      <c r="G6" s="256">
        <f>IFERROR(AVERAGE('Január-December'!I93:I122),"")</f>
        <v>10.736666666666668</v>
      </c>
      <c r="H6" s="256">
        <f>MAX('Január-December'!H93:H122)</f>
        <v>18.524999999999999</v>
      </c>
      <c r="I6" s="258">
        <f>MIN('Január-December'!H93:H122)</f>
        <v>4.4000000000000004</v>
      </c>
      <c r="J6" s="257">
        <f>MAX('Január-December'!J93:J122)</f>
        <v>14.8196117511861</v>
      </c>
      <c r="K6" s="256">
        <f>MIN('Január-December'!K93:K122)</f>
        <v>-9.0985094986835602</v>
      </c>
      <c r="L6" s="258">
        <f>IFERROR(AVERAGE('Január-December'!L93:L122),"")</f>
        <v>3.1792979093785814</v>
      </c>
      <c r="M6" s="259">
        <f>MAX('Január-December'!M93:M122)</f>
        <v>99</v>
      </c>
      <c r="N6" s="260">
        <f>COUNTIF('Január-December'!M93:M122,"99")</f>
        <v>6</v>
      </c>
      <c r="O6" s="261">
        <f>MIN('Január-December'!N93:N122)</f>
        <v>16.428571428571399</v>
      </c>
      <c r="P6" s="261">
        <f>IFERROR(AVERAGE('Január-December'!O93:O122),"")</f>
        <v>64.143057337047765</v>
      </c>
      <c r="Q6" s="261">
        <f>MAX('Január-December'!O93:O122)</f>
        <v>93.858940972222229</v>
      </c>
      <c r="R6" s="262">
        <f>MIN('Január-December'!O93:O122)</f>
        <v>43.078869047619051</v>
      </c>
      <c r="S6" s="263">
        <f>MAX('Január-December'!P93:P122)</f>
        <v>1029.7994123667399</v>
      </c>
      <c r="T6" s="264">
        <f>MIN('Január-December'!Q93:Q122)</f>
        <v>1004.12724635406</v>
      </c>
      <c r="U6" s="265">
        <f>IFERROR(AVERAGE('Január-December'!R93:R122),"")</f>
        <v>1015.9895428120648</v>
      </c>
      <c r="V6" s="275">
        <f>MAX('Január-December'!S93:S122)</f>
        <v>13.3</v>
      </c>
      <c r="W6" s="276">
        <f>MAX('Január-December'!T93:T122)</f>
        <v>8.4071846489497091</v>
      </c>
      <c r="X6" s="276">
        <f>IFERROR(AVERAGE('Január-December'!U93:U122),"")</f>
        <v>2.0833333333333335</v>
      </c>
      <c r="Y6" s="276">
        <f>MAX('Január-December'!U93:U122)</f>
        <v>3.6</v>
      </c>
      <c r="Z6" s="276">
        <f>MIN('Január-December'!U93:U122)</f>
        <v>0.6</v>
      </c>
      <c r="AA6" s="293" t="s">
        <v>229</v>
      </c>
      <c r="AB6" s="277">
        <f>MAX('Január-December'!X93:X122)</f>
        <v>6</v>
      </c>
      <c r="AC6" s="278">
        <f>MAX('Január-December'!Y93:Y122)</f>
        <v>23</v>
      </c>
      <c r="AD6" s="279">
        <f>SUM('Január-December'!Y93:Y122)</f>
        <v>48.8</v>
      </c>
      <c r="AE6" s="280">
        <f>MAX('Január-December'!Z93:Z122)</f>
        <v>0</v>
      </c>
      <c r="AF6" s="281">
        <f>MAX('Január-December'!AA93:AA122)</f>
        <v>0</v>
      </c>
      <c r="AG6" s="282"/>
    </row>
    <row r="7" spans="1:33" s="283" customFormat="1" x14ac:dyDescent="0.3">
      <c r="A7" s="291" t="s">
        <v>27</v>
      </c>
      <c r="B7" s="257">
        <f>MAX('Január-December'!E123:E153)</f>
        <v>24.8</v>
      </c>
      <c r="C7" s="256">
        <f>MIN('Január-December'!F123:F153)</f>
        <v>2.5</v>
      </c>
      <c r="D7" s="256">
        <f>MAX('Január-December'!G123:G153)</f>
        <v>17.299999999999997</v>
      </c>
      <c r="E7" s="256">
        <f>MIN('Január-December'!G123:G153)</f>
        <v>1.3000000000000007</v>
      </c>
      <c r="F7" s="256">
        <f>IFERROR(AVERAGE('Január-December'!H123:H153),"")</f>
        <v>12.651612903225807</v>
      </c>
      <c r="G7" s="256">
        <f>IFERROR(AVERAGE('Január-December'!I123:I153),"")</f>
        <v>12.867741935483872</v>
      </c>
      <c r="H7" s="256">
        <f>MAX('Január-December'!H123:H153)</f>
        <v>17.524999999999999</v>
      </c>
      <c r="I7" s="258">
        <f>MIN('Január-December'!H123:H153)</f>
        <v>5.625</v>
      </c>
      <c r="J7" s="257">
        <f>MAX('Január-December'!J123:J153)</f>
        <v>17.3724877974504</v>
      </c>
      <c r="K7" s="256">
        <f>MIN('Január-December'!K123:K153)</f>
        <v>-0.22195228777109999</v>
      </c>
      <c r="L7" s="258">
        <f>IFERROR(AVERAGE('Január-December'!L123:L153),"")</f>
        <v>9.2805459672146267</v>
      </c>
      <c r="M7" s="259">
        <f>MAX('Január-December'!M123:M153)</f>
        <v>99</v>
      </c>
      <c r="N7" s="260">
        <f>COUNTIF('Január-December'!M123:M153,"99")</f>
        <v>17</v>
      </c>
      <c r="O7" s="261">
        <f>MIN('Január-December'!N123:N153)</f>
        <v>32</v>
      </c>
      <c r="P7" s="261">
        <f>IFERROR(AVERAGE('Január-December'!O123:O153),"")</f>
        <v>80.984413547593533</v>
      </c>
      <c r="Q7" s="261">
        <f>MAX('Január-December'!O123:O153)</f>
        <v>95.11019345238094</v>
      </c>
      <c r="R7" s="262">
        <f>MIN('Január-December'!O123:O153)</f>
        <v>62.985119047619023</v>
      </c>
      <c r="S7" s="263">
        <f>MAX('Január-December'!P123:P153)</f>
        <v>1027.8638922043999</v>
      </c>
      <c r="T7" s="264">
        <f>MIN('Január-December'!Q123:Q153)</f>
        <v>1003.1066427505</v>
      </c>
      <c r="U7" s="265">
        <f>IFERROR(AVERAGE('Január-December'!R123:R153),"")</f>
        <v>1011.7035387291381</v>
      </c>
      <c r="V7" s="275">
        <f>MAX('Január-December'!S123:S153)</f>
        <v>12.2</v>
      </c>
      <c r="W7" s="276">
        <f>MAX('Január-December'!T123:T153)</f>
        <v>7.8643248075561942</v>
      </c>
      <c r="X7" s="276">
        <f>IFERROR(AVERAGE('Január-December'!U123:U153),"")</f>
        <v>1.709677419354839</v>
      </c>
      <c r="Y7" s="276">
        <f>MAX('Január-December'!U123:U153)</f>
        <v>3.4</v>
      </c>
      <c r="Z7" s="276">
        <f>MIN('Január-December'!U123:U153)</f>
        <v>0.5</v>
      </c>
      <c r="AA7" s="293" t="s">
        <v>231</v>
      </c>
      <c r="AB7" s="277">
        <f>MAX('Január-December'!X123:X153)</f>
        <v>87.1</v>
      </c>
      <c r="AC7" s="278">
        <f>MAX('Január-December'!Y123:Y153)</f>
        <v>24.5</v>
      </c>
      <c r="AD7" s="279">
        <f>SUM('Január-December'!Y123:Y153)</f>
        <v>167.2</v>
      </c>
      <c r="AE7" s="280">
        <f>MAX('Január-December'!Z123:Z153)</f>
        <v>0</v>
      </c>
      <c r="AF7" s="281">
        <f>MAX('Január-December'!AA123:AA153)</f>
        <v>0</v>
      </c>
      <c r="AG7" s="282"/>
    </row>
    <row r="8" spans="1:33" s="283" customFormat="1" x14ac:dyDescent="0.3">
      <c r="A8" s="291" t="s">
        <v>28</v>
      </c>
      <c r="B8" s="284">
        <f>MAX('Január-December'!E154:E183)</f>
        <v>32.4</v>
      </c>
      <c r="C8" s="256">
        <f>MIN('Január-December'!F154:F183)</f>
        <v>6.8</v>
      </c>
      <c r="D8" s="256">
        <f>MAX('Január-December'!G154:G183)</f>
        <v>19.899999999999999</v>
      </c>
      <c r="E8" s="256">
        <f>MIN('Január-December'!G154:G183)</f>
        <v>6.8000000000000007</v>
      </c>
      <c r="F8" s="256">
        <f>IFERROR(AVERAGE('Január-December'!H154:H183),"")</f>
        <v>21.274166666666662</v>
      </c>
      <c r="G8" s="256">
        <f>IFERROR(AVERAGE('Január-December'!I154:I183),"")</f>
        <v>21.113333333333337</v>
      </c>
      <c r="H8" s="256">
        <f>MAX('Január-December'!H154:H183)</f>
        <v>24.65</v>
      </c>
      <c r="I8" s="285">
        <f>MIN('Január-December'!H154:H183)</f>
        <v>16.649999999999999</v>
      </c>
      <c r="J8" s="257">
        <f>MAX('Január-December'!J154:J183)</f>
        <v>24.7</v>
      </c>
      <c r="K8" s="256">
        <f>MIN('Január-December'!K154:K183)</f>
        <v>5.6907689028922501</v>
      </c>
      <c r="L8" s="258">
        <f>IFERROR(AVERAGE('Január-December'!L154:L183),"")</f>
        <v>15.919780402614579</v>
      </c>
      <c r="M8" s="259">
        <f>MAX('Január-December'!M154:M183)</f>
        <v>99</v>
      </c>
      <c r="N8" s="260">
        <f>COUNTIF('Január-December'!M154:M183,"99")</f>
        <v>21</v>
      </c>
      <c r="O8" s="261">
        <f>MIN('Január-December'!N154:N183)</f>
        <v>32</v>
      </c>
      <c r="P8" s="261">
        <f>IFERROR(AVERAGE('Január-December'!O154:O183),"")</f>
        <v>74.843779688995994</v>
      </c>
      <c r="Q8" s="261">
        <f>MAX('Január-December'!O154:O183)</f>
        <v>88.902963789682545</v>
      </c>
      <c r="R8" s="262">
        <f>MIN('Január-December'!O154:O183)</f>
        <v>63.353858784893276</v>
      </c>
      <c r="S8" s="286">
        <f>MAX('Január-December'!P154:P183)</f>
        <v>1026.30673502486</v>
      </c>
      <c r="T8" s="264">
        <f>MIN('Január-December'!Q154:Q183)</f>
        <v>1011.31684891208</v>
      </c>
      <c r="U8" s="287">
        <f>IFERROR(AVERAGE('Január-December'!R154:R183),"")</f>
        <v>1017.830854511884</v>
      </c>
      <c r="V8" s="275">
        <f>MAX('Január-December'!S154:S183)</f>
        <v>9.5</v>
      </c>
      <c r="W8" s="276">
        <f>MAX('Január-December'!T154:T183)</f>
        <v>6.3125313793622082</v>
      </c>
      <c r="X8" s="276">
        <f>IFERROR(AVERAGE('Január-December'!U154:U183),"")</f>
        <v>1.476666666666667</v>
      </c>
      <c r="Y8" s="276">
        <f>MAX('Január-December'!U154:U183)</f>
        <v>2.2999999999999998</v>
      </c>
      <c r="Z8" s="276">
        <f>MIN('Január-December'!U154:U183)</f>
        <v>0.7</v>
      </c>
      <c r="AA8" s="293" t="s">
        <v>254</v>
      </c>
      <c r="AB8" s="277">
        <f>MAX('Január-December'!X154:X183)</f>
        <v>65.900000000000006</v>
      </c>
      <c r="AC8" s="278">
        <f>MAX('Január-December'!Y154:Y183)</f>
        <v>27</v>
      </c>
      <c r="AD8" s="279">
        <f>SUM('Január-December'!Y154:Y183)</f>
        <v>73.099999999999994</v>
      </c>
      <c r="AE8" s="280">
        <f>MAX('Január-December'!Z154:Z183)</f>
        <v>0</v>
      </c>
      <c r="AF8" s="281">
        <f>MAX('Január-December'!AA154:AA183)</f>
        <v>0</v>
      </c>
      <c r="AG8" s="282"/>
    </row>
    <row r="9" spans="1:33" s="283" customFormat="1" x14ac:dyDescent="0.3">
      <c r="A9" s="291" t="s">
        <v>29</v>
      </c>
      <c r="B9" s="284">
        <f>MAX('Január-December'!E184:E214)</f>
        <v>32.1</v>
      </c>
      <c r="C9" s="256">
        <f>MIN('Január-December'!F184:F214)</f>
        <v>5.4</v>
      </c>
      <c r="D9" s="256">
        <f>MAX('Január-December'!G184:G214)</f>
        <v>19.799999999999997</v>
      </c>
      <c r="E9" s="256">
        <f>MIN('Január-December'!G184:G214)</f>
        <v>4.8000000000000007</v>
      </c>
      <c r="F9" s="256">
        <f>IFERROR(AVERAGE('Január-December'!H184:H214),"")</f>
        <v>18.5741935483871</v>
      </c>
      <c r="G9" s="256">
        <f>IFERROR(AVERAGE('Január-December'!I184:I214),"")</f>
        <v>18.551612903225799</v>
      </c>
      <c r="H9" s="256">
        <f>MAX('Január-December'!H184:H214)</f>
        <v>25.774999999999999</v>
      </c>
      <c r="I9" s="285">
        <f>MIN('Január-December'!H184:H214)</f>
        <v>12.524999999999999</v>
      </c>
      <c r="J9" s="257">
        <f>MAX('Január-December'!J184:J214)</f>
        <v>21.7509879039672</v>
      </c>
      <c r="K9" s="256">
        <f>MIN('Január-December'!K184:K214)</f>
        <v>4.2196639832224898</v>
      </c>
      <c r="L9" s="258">
        <f>IFERROR(AVERAGE('Január-December'!L184:L214),"")</f>
        <v>13.3642589683607</v>
      </c>
      <c r="M9" s="259">
        <f>MAX('Január-December'!M184:M214)</f>
        <v>99</v>
      </c>
      <c r="N9" s="260">
        <f>COUNTIF('Január-December'!M184:M214,"99")</f>
        <v>15</v>
      </c>
      <c r="O9" s="261">
        <f>MIN('Január-December'!N184:N214)</f>
        <v>28.285714285714299</v>
      </c>
      <c r="P9" s="261">
        <f>IFERROR(AVERAGE('Január-December'!O184:O214),"")</f>
        <v>74.58670854027423</v>
      </c>
      <c r="Q9" s="261">
        <f>MAX('Január-December'!O184:O214)</f>
        <v>89.592137896825406</v>
      </c>
      <c r="R9" s="262">
        <f>MIN('Január-December'!O184:O214)</f>
        <v>56.453807043650748</v>
      </c>
      <c r="S9" s="286">
        <f>MAX('Január-December'!P184:P214)</f>
        <v>1022.3919758906</v>
      </c>
      <c r="T9" s="264">
        <f>MIN('Január-December'!Q184:Q214)</f>
        <v>1003.32677325609</v>
      </c>
      <c r="U9" s="287">
        <f>IFERROR(AVERAGE('Január-December'!R214:R1907),"")</f>
        <v>1016.1266042636499</v>
      </c>
      <c r="V9" s="275">
        <f>MAX('Január-December'!S184:S214)</f>
        <v>15.6</v>
      </c>
      <c r="W9" s="276">
        <f>MAX('Január-December'!T184:T214)</f>
        <v>6.564318345271694</v>
      </c>
      <c r="X9" s="276">
        <f>IFERROR(AVERAGE('Január-December'!U184:U214),"")</f>
        <v>1.2129032258064516</v>
      </c>
      <c r="Y9" s="276">
        <f>MAX('Január-December'!U184:U214)</f>
        <v>2.5</v>
      </c>
      <c r="Z9" s="276">
        <f>MIN('Január-December'!U184:U214)</f>
        <v>0.7</v>
      </c>
      <c r="AA9" s="293" t="s">
        <v>254</v>
      </c>
      <c r="AB9" s="277">
        <f>MAX('Január-December'!X184:X214)</f>
        <v>85.2</v>
      </c>
      <c r="AC9" s="278">
        <f>MAX('Január-December'!Y184:Y214)</f>
        <v>23.5</v>
      </c>
      <c r="AD9" s="279">
        <f>SUM('Január-December'!Y184:Y214)</f>
        <v>106</v>
      </c>
      <c r="AE9" s="280">
        <f>MAX('Január-December'!Z184:Z214)</f>
        <v>0</v>
      </c>
      <c r="AF9" s="281">
        <f>MAX('Január-December'!AA184:AA214)</f>
        <v>0</v>
      </c>
      <c r="AG9" s="282"/>
    </row>
    <row r="10" spans="1:33" s="283" customFormat="1" x14ac:dyDescent="0.3">
      <c r="A10" s="291" t="s">
        <v>30</v>
      </c>
      <c r="B10" s="284">
        <f>MAX('Január-December'!E215:E245)</f>
        <v>31.9</v>
      </c>
      <c r="C10" s="256">
        <f>MIN('Január-December'!F215:F245)</f>
        <v>7.7</v>
      </c>
      <c r="D10" s="256">
        <f>MAX('Január-December'!G215:G245)</f>
        <v>17.899999999999999</v>
      </c>
      <c r="E10" s="256">
        <f>MIN('Január-December'!G215:G245)</f>
        <v>5.7999999999999989</v>
      </c>
      <c r="F10" s="256">
        <f>IFERROR(AVERAGE('Január-December'!H215:H245),"")</f>
        <v>19.623387096774195</v>
      </c>
      <c r="G10" s="256">
        <f>IFERROR(AVERAGE('Január-December'!I215:I245),"")</f>
        <v>19.953710522585911</v>
      </c>
      <c r="H10" s="256">
        <f>MAX('Január-December'!H215:H245)</f>
        <v>23.450000000000003</v>
      </c>
      <c r="I10" s="285">
        <f>MIN('Január-December'!H215:H245)</f>
        <v>14.125</v>
      </c>
      <c r="J10" s="257">
        <f>MAX('Január-December'!J215:J245)</f>
        <v>22.375672790882799</v>
      </c>
      <c r="K10" s="256">
        <f>MIN('Január-December'!K215:K245)</f>
        <v>6.1640442697994899</v>
      </c>
      <c r="L10" s="258">
        <f>IFERROR(AVERAGE('Január-December'!L215:L245),"")</f>
        <v>15.735781371972569</v>
      </c>
      <c r="M10" s="259">
        <f>MAX('Január-December'!M215:M245)</f>
        <v>99</v>
      </c>
      <c r="N10" s="260">
        <f>COUNTIF('Január-December'!M215:M245,"99")</f>
        <v>29</v>
      </c>
      <c r="O10" s="261">
        <f>MIN('Január-December'!N215:N245)</f>
        <v>39.285714285714299</v>
      </c>
      <c r="P10" s="261">
        <f>IFERROR(AVERAGE('Január-December'!O215:O245),"")</f>
        <v>79.06610738145163</v>
      </c>
      <c r="Q10" s="261">
        <f>MAX('Január-December'!O215:O245)</f>
        <v>97.100198412698418</v>
      </c>
      <c r="R10" s="262">
        <f>MIN('Január-December'!O215:O245)</f>
        <v>69.643477182539684</v>
      </c>
      <c r="S10" s="286">
        <f>MAX('Január-December'!P215:P245)</f>
        <v>1027.7765751991999</v>
      </c>
      <c r="T10" s="264">
        <f>MIN('Január-December'!Q215:Q245)</f>
        <v>1007.60563954153</v>
      </c>
      <c r="U10" s="287">
        <f>IFERROR(AVERAGE('Január-December'!R215:R245),"")</f>
        <v>1017.6473115172106</v>
      </c>
      <c r="V10" s="275">
        <f>MAX('Január-December'!S215:S245)</f>
        <v>11.200055675066388</v>
      </c>
      <c r="W10" s="276">
        <f>MAX('Január-December'!T215:T245)</f>
        <v>7.1143210793151379</v>
      </c>
      <c r="X10" s="276">
        <f>IFERROR(AVERAGE('Január-December'!U215:U245),"")</f>
        <v>1.1842729850678981</v>
      </c>
      <c r="Y10" s="276">
        <f>MAX('Január-December'!U215:U245)</f>
        <v>2.1050513867523613</v>
      </c>
      <c r="Z10" s="276">
        <f>MIN('Január-December'!U215:U245)</f>
        <v>0.67417869853983148</v>
      </c>
      <c r="AA10" s="293" t="s">
        <v>254</v>
      </c>
      <c r="AB10" s="277">
        <f>MAX('Január-December'!X215:X245)</f>
        <v>42.7</v>
      </c>
      <c r="AC10" s="278">
        <f>MAX('Január-December'!Y215:Y245)</f>
        <v>70.7</v>
      </c>
      <c r="AD10" s="279">
        <f>SUM('Január-December'!Y215:Y245)</f>
        <v>143.19999999999999</v>
      </c>
      <c r="AE10" s="280">
        <f>MAX('Január-December'!Z215:Z245)</f>
        <v>0</v>
      </c>
      <c r="AF10" s="281">
        <f>MAX('Január-December'!AA215:AA245)</f>
        <v>0</v>
      </c>
      <c r="AG10" s="282"/>
    </row>
    <row r="11" spans="1:33" s="283" customFormat="1" x14ac:dyDescent="0.3">
      <c r="A11" s="291" t="s">
        <v>31</v>
      </c>
      <c r="B11" s="284">
        <f>MAX('Január-December'!E246:E275)</f>
        <v>29.7</v>
      </c>
      <c r="C11" s="256">
        <f>MIN('Január-December'!F246:F275)</f>
        <v>0.4</v>
      </c>
      <c r="D11" s="256">
        <f>MAX('Január-December'!G246:G275)</f>
        <v>19</v>
      </c>
      <c r="E11" s="256">
        <f>MIN('Január-December'!G246:G275)</f>
        <v>5.5</v>
      </c>
      <c r="F11" s="256">
        <f>IFERROR(AVERAGE('Január-December'!H246:H275),"")</f>
        <v>13.713333333333333</v>
      </c>
      <c r="G11" s="256">
        <f>IFERROR(AVERAGE('Január-December'!I246:I275),"")</f>
        <v>13.976666666666668</v>
      </c>
      <c r="H11" s="256">
        <f>MAX('Január-December'!H246:H275)</f>
        <v>20.05</v>
      </c>
      <c r="I11" s="288">
        <f>MIN('Január-December'!H246:H275)</f>
        <v>7.9</v>
      </c>
      <c r="J11" s="257">
        <f>MAX('Január-December'!J246:J275)</f>
        <v>20.442101978868202</v>
      </c>
      <c r="K11" s="256">
        <f>MIN('Január-December'!K246:K275)</f>
        <v>-1.0462029418026799</v>
      </c>
      <c r="L11" s="258">
        <f>IFERROR(AVERAGE('Január-December'!L246:L275),"")</f>
        <v>9.9740909263638748</v>
      </c>
      <c r="M11" s="259">
        <f>MAX('Január-December'!M246:M275)</f>
        <v>99</v>
      </c>
      <c r="N11" s="260">
        <f>COUNTIF('Január-December'!M246:M275,"99")</f>
        <v>22</v>
      </c>
      <c r="O11" s="261">
        <f>MIN('Január-December'!N246:N275)</f>
        <v>35.714285714285701</v>
      </c>
      <c r="P11" s="261">
        <f>IFERROR(AVERAGE('Január-December'!O246:O275),"")</f>
        <v>79.115854473199022</v>
      </c>
      <c r="Q11" s="261">
        <f>MAX('Január-December'!O246:O275)</f>
        <v>95.041976686507937</v>
      </c>
      <c r="R11" s="261">
        <f>MIN('Január-December'!O246:O275)</f>
        <v>63.825830853174566</v>
      </c>
      <c r="S11" s="286">
        <f>MAX('Január-December'!P246:P275)</f>
        <v>1032.0550776100599</v>
      </c>
      <c r="T11" s="264">
        <f>MIN('Január-December'!Q246:Q275)</f>
        <v>1000.63425620061</v>
      </c>
      <c r="U11" s="287">
        <f>IFERROR(AVERAGE('Január-December'!R246:R275),"")</f>
        <v>1018.454635476501</v>
      </c>
      <c r="V11" s="275">
        <f>MAX('Január-December'!S246:S275)</f>
        <v>12.2</v>
      </c>
      <c r="W11" s="289">
        <f>MAX('Január-December'!T246:T275)</f>
        <v>7.8357532369565419</v>
      </c>
      <c r="X11" s="289">
        <f>IFERROR(AVERAGE('Január-December'!U246:U275),"")</f>
        <v>1.3066666666666664</v>
      </c>
      <c r="Y11" s="289">
        <f>MAX('Január-December'!U246:U275)</f>
        <v>3.4</v>
      </c>
      <c r="Z11" s="289">
        <f>MIN('Január-December'!U246:U275)</f>
        <v>0.5</v>
      </c>
      <c r="AA11" s="293" t="s">
        <v>255</v>
      </c>
      <c r="AB11" s="277">
        <f>MAX('Január-December'!X246:X275)</f>
        <v>70.400000000000006</v>
      </c>
      <c r="AC11" s="278">
        <f>MAX('Január-December'!Y246:Y275)</f>
        <v>35.4</v>
      </c>
      <c r="AD11" s="279">
        <f>SUM('Január-December'!Y246:Y275)</f>
        <v>76.300000000000011</v>
      </c>
      <c r="AE11" s="280">
        <f>MAX('Január-December'!Z246:Z275)</f>
        <v>0</v>
      </c>
      <c r="AF11" s="281">
        <f>MAX('Január-December'!AA276:AA306)</f>
        <v>0</v>
      </c>
      <c r="AG11" s="282"/>
    </row>
    <row r="12" spans="1:33" s="283" customFormat="1" x14ac:dyDescent="0.3">
      <c r="A12" s="291" t="s">
        <v>32</v>
      </c>
      <c r="B12" s="284">
        <f>MAX('Január-December'!E276:E306)</f>
        <v>22.3</v>
      </c>
      <c r="C12" s="256">
        <f>MIN('Január-December'!F276:F306)</f>
        <v>-5.6</v>
      </c>
      <c r="D12" s="256">
        <f>MAX('Január-December'!G276:G306)</f>
        <v>17.399999999999999</v>
      </c>
      <c r="E12" s="256">
        <f>MIN('Január-December'!G276:G306)</f>
        <v>2.9999999999999991</v>
      </c>
      <c r="F12" s="256">
        <f>IFERROR(AVERAGE('Január-December'!H276:H306),"")</f>
        <v>9.8419354838709658</v>
      </c>
      <c r="G12" s="256">
        <f>IFERROR(AVERAGE('Január-December'!I276:I306),"")</f>
        <v>9.9387096774193573</v>
      </c>
      <c r="H12" s="256">
        <f>MAX('Január-December'!H276:H306)</f>
        <v>15.125</v>
      </c>
      <c r="I12" s="288">
        <f>MIN('Január-December'!H276:H306)</f>
        <v>-0.10000000000000009</v>
      </c>
      <c r="J12" s="257">
        <f>MAX('Január-December'!J276:J306)</f>
        <v>13.578795217111599</v>
      </c>
      <c r="K12" s="256">
        <f>MIN('Január-December'!K276:K306)</f>
        <v>-9.4852188915820008</v>
      </c>
      <c r="L12" s="258">
        <f>IFERROR(AVERAGE('Január-December'!L276:L306),"")</f>
        <v>5.7157694147479434</v>
      </c>
      <c r="M12" s="259">
        <f>MAX('Január-December'!M276:M306)</f>
        <v>99</v>
      </c>
      <c r="N12" s="260">
        <f>COUNTIF('Január-December'!M276:M306,"99")</f>
        <v>5</v>
      </c>
      <c r="O12" s="261">
        <f>MIN('Január-December'!N276:N306)</f>
        <v>35.25</v>
      </c>
      <c r="P12" s="261">
        <f>IFERROR(AVERAGE('Január-December'!O276:O306),"")</f>
        <v>77.1538158711911</v>
      </c>
      <c r="Q12" s="261">
        <f>MAX('Január-December'!O276:O306)</f>
        <v>95.670386904761912</v>
      </c>
      <c r="R12" s="261">
        <f>MIN('Január-December'!O276:O306)</f>
        <v>64.429439484126959</v>
      </c>
      <c r="S12" s="286">
        <f>MAX('Január-December'!P276:P306)</f>
        <v>1027.78567072174</v>
      </c>
      <c r="T12" s="264">
        <f>MIN('Január-December'!Q276:Q306)</f>
        <v>1002.45352728249</v>
      </c>
      <c r="U12" s="287">
        <f>IFERROR(AVERAGE('Január-December'!R276:R306),"")</f>
        <v>1017.5554518830056</v>
      </c>
      <c r="V12" s="275">
        <f>MAX('Január-December'!S276:S306)</f>
        <v>13.6</v>
      </c>
      <c r="W12" s="289">
        <f>MAX('Január-December'!T276:T306)</f>
        <v>7.6920025223769866</v>
      </c>
      <c r="X12" s="289">
        <f>IFERROR(AVERAGE('Január-December'!U276:U306),"")</f>
        <v>1.4322580645161291</v>
      </c>
      <c r="Y12" s="289">
        <f>MAX('Január-December'!U276:U306)</f>
        <v>3.9</v>
      </c>
      <c r="Z12" s="289">
        <f>MIN('Január-December'!U276:U306)</f>
        <v>0.4</v>
      </c>
      <c r="AA12" s="293" t="s">
        <v>226</v>
      </c>
      <c r="AB12" s="277">
        <f>MAX('Január-December'!X276:X306)</f>
        <v>17.899999999999999</v>
      </c>
      <c r="AC12" s="278">
        <f>MAX('Január-December'!Y276:Y306)</f>
        <v>19.600000000000001</v>
      </c>
      <c r="AD12" s="279">
        <f>SUM('Január-December'!Y276:Y306)</f>
        <v>42.200000000000017</v>
      </c>
      <c r="AE12" s="280">
        <f>MAX('Január-December'!Z276:Z306)</f>
        <v>0</v>
      </c>
      <c r="AF12" s="281">
        <f>MAX('Január-December'!AA276:AA306)</f>
        <v>0</v>
      </c>
      <c r="AG12" s="282"/>
    </row>
    <row r="13" spans="1:33" s="283" customFormat="1" ht="14.4" customHeight="1" x14ac:dyDescent="0.3">
      <c r="A13" s="291" t="s">
        <v>33</v>
      </c>
      <c r="B13" s="284">
        <f>MAX('Január-December'!E307:E336)</f>
        <v>17.600000000000001</v>
      </c>
      <c r="C13" s="256">
        <f>MIN('Január-December'!F307:F336)</f>
        <v>-6.6</v>
      </c>
      <c r="D13" s="256">
        <f>MAX('Január-December'!G307:G336)</f>
        <v>15.799999999999999</v>
      </c>
      <c r="E13" s="256">
        <f>MIN('Január-December'!G307:G336)</f>
        <v>2.1000000000000005</v>
      </c>
      <c r="F13" s="256">
        <f>IFERROR(AVERAGE('Január-December'!H307:H336),"")</f>
        <v>7.9950000000000028</v>
      </c>
      <c r="G13" s="256">
        <f>IFERROR(AVERAGE('Január-December'!I307:I336),"")</f>
        <v>7.753333333333333</v>
      </c>
      <c r="H13" s="256">
        <f>MAX('Január-December'!H307:H336)</f>
        <v>14.925000000000001</v>
      </c>
      <c r="I13" s="288">
        <f>MIN('Január-December'!H307:H336)</f>
        <v>-7.5000000000000178E-2</v>
      </c>
      <c r="J13" s="257">
        <f>MAX('Január-December'!J307:J336)</f>
        <v>11.0700372282678</v>
      </c>
      <c r="K13" s="256">
        <f>MIN('Január-December'!K307:K336)</f>
        <v>-10.609326799190599</v>
      </c>
      <c r="L13" s="258">
        <f>IFERROR(AVERAGE('Január-December'!L307:L336),"")</f>
        <v>4.1824231092852528</v>
      </c>
      <c r="M13" s="259">
        <f>MAX('Január-December'!M307:M336)</f>
        <v>92</v>
      </c>
      <c r="N13" s="260">
        <f>COUNTIF('Január-December'!M307:M336,"99")</f>
        <v>0</v>
      </c>
      <c r="O13" s="261">
        <f>MIN('Január-December'!N307:N336)</f>
        <v>43.625</v>
      </c>
      <c r="P13" s="261">
        <f>IFERROR(AVERAGE('Január-December'!O307:O336),"")</f>
        <v>78.830427245874802</v>
      </c>
      <c r="Q13" s="261">
        <f>MAX('Január-December'!O307:O336)</f>
        <v>89.148561507936506</v>
      </c>
      <c r="R13" s="261">
        <f>MIN('Január-December'!O307:O336)</f>
        <v>63.781498015873012</v>
      </c>
      <c r="S13" s="286">
        <f>MAX('Január-December'!P307:P336)</f>
        <v>1025.09884102159</v>
      </c>
      <c r="T13" s="264">
        <f>MIN('Január-December'!Q307:Q336)</f>
        <v>993.44438162084396</v>
      </c>
      <c r="U13" s="287">
        <f>IFERROR(AVERAGE('Január-December'!R307:R336),"")</f>
        <v>1011.3347787187054</v>
      </c>
      <c r="V13" s="275">
        <f>MAX('Január-December'!S307:S336)</f>
        <v>13.3</v>
      </c>
      <c r="W13" s="289">
        <f>MAX('Január-December'!T307:T336)</f>
        <v>9.087545173854096</v>
      </c>
      <c r="X13" s="289">
        <f>IFERROR(AVERAGE('Január-December'!U307:U336),"")</f>
        <v>1.6799999999999997</v>
      </c>
      <c r="Y13" s="289">
        <f>MAX('Január-December'!U307:U336)</f>
        <v>4.2</v>
      </c>
      <c r="Z13" s="289">
        <f>MIN('Január-December'!U307:U336)</f>
        <v>0.4</v>
      </c>
      <c r="AA13" s="293" t="s">
        <v>230</v>
      </c>
      <c r="AB13" s="277">
        <f>MAX('Január-December'!X307:X336)</f>
        <v>12</v>
      </c>
      <c r="AC13" s="278">
        <f>MAX('Január-December'!Y307:Y336)</f>
        <v>21.2</v>
      </c>
      <c r="AD13" s="279">
        <f>SUM('Január-December'!Y307:Y336)</f>
        <v>92.399999999999977</v>
      </c>
      <c r="AE13" s="280">
        <f>MAX('Január-December'!Z307:Z336)</f>
        <v>0</v>
      </c>
      <c r="AF13" s="281">
        <f>MAX('Január-December'!AA307:AA336)</f>
        <v>0</v>
      </c>
      <c r="AG13" s="282"/>
    </row>
    <row r="14" spans="1:33" s="283" customFormat="1" ht="15" thickBot="1" x14ac:dyDescent="0.35">
      <c r="A14" s="291" t="s">
        <v>34</v>
      </c>
      <c r="B14" s="284">
        <f>MAX('Január-December'!E337:E367)</f>
        <v>11.2</v>
      </c>
      <c r="C14" s="256">
        <f>MIN('Január-December'!F337:F367)</f>
        <v>-7.1</v>
      </c>
      <c r="D14" s="256">
        <f>MAX('Január-December'!G337:G367)</f>
        <v>12.399999999999999</v>
      </c>
      <c r="E14" s="256">
        <f>MIN('Január-December'!G337:G367)</f>
        <v>1.7000000000000002</v>
      </c>
      <c r="F14" s="256">
        <f>IFERROR(AVERAGE('Január-December'!H337:H367),"")</f>
        <v>2.0983870967741938</v>
      </c>
      <c r="G14" s="256">
        <f>IFERROR(AVERAGE('Január-December'!I337:I367),"")</f>
        <v>1.9935483870967743</v>
      </c>
      <c r="H14" s="256">
        <f>MAX('Január-December'!H337:H367)</f>
        <v>9.6000000000000014</v>
      </c>
      <c r="I14" s="288">
        <f>MIN('Január-December'!H337:H367)</f>
        <v>-3.6999999999999997</v>
      </c>
      <c r="J14" s="257">
        <f>MAX('Január-December'!J337:J367)</f>
        <v>6.3197129492202899</v>
      </c>
      <c r="K14" s="256">
        <f>MIN('Január-December'!K337:K367)</f>
        <v>-10.6454809543014</v>
      </c>
      <c r="L14" s="258">
        <f>IFERROR(AVERAGE('Január-December'!L337:L367),"")</f>
        <v>-1.7687982874105312</v>
      </c>
      <c r="M14" s="259">
        <f>MAX('Január-December'!M337:M367)</f>
        <v>91</v>
      </c>
      <c r="N14" s="260">
        <f>COUNTIF('Január-December'!M337:M367,"99")</f>
        <v>0</v>
      </c>
      <c r="O14" s="261">
        <f>MIN('Január-December'!N337:N367)</f>
        <v>52</v>
      </c>
      <c r="P14" s="261">
        <f>IFERROR(AVERAGE('Január-December'!O337:O367),"")</f>
        <v>76.435309811299135</v>
      </c>
      <c r="Q14" s="261">
        <f>MAX('Január-December'!O337:O367)</f>
        <v>84.645151289682531</v>
      </c>
      <c r="R14" s="261">
        <f>MIN('Január-December'!O337:O367)</f>
        <v>62.001984126984127</v>
      </c>
      <c r="S14" s="286">
        <f>MAX('Január-December'!P337:P367)</f>
        <v>1037.8760688434099</v>
      </c>
      <c r="T14" s="264">
        <f>MIN('Január-December'!Q337:Q367)</f>
        <v>988.52488725953401</v>
      </c>
      <c r="U14" s="287">
        <f>IFERROR(AVERAGE('Január-December'!R337:R367),"")</f>
        <v>1015.6808525006294</v>
      </c>
      <c r="V14" s="275">
        <f>MAX('Január-December'!S337:S367)</f>
        <v>14.3</v>
      </c>
      <c r="W14" s="289">
        <f>MAX('Január-December'!T337:T367)</f>
        <v>9.6857383594694575</v>
      </c>
      <c r="X14" s="289">
        <f>IFERROR(AVERAGE('Január-December'!U337:U367),"")</f>
        <v>2.0096774193548392</v>
      </c>
      <c r="Y14" s="289">
        <f>MAX('Január-December'!U337:U367)</f>
        <v>4.9000000000000004</v>
      </c>
      <c r="Z14" s="289">
        <f>MIN('Január-December'!U337:U367)</f>
        <v>0.4</v>
      </c>
      <c r="AA14" s="293" t="s">
        <v>230</v>
      </c>
      <c r="AB14" s="277">
        <f>MAX('Január-December'!X337:X367)</f>
        <v>6</v>
      </c>
      <c r="AC14" s="278">
        <f>MAX('Január-December'!Y337:Y367)</f>
        <v>10.9</v>
      </c>
      <c r="AD14" s="279">
        <f>SUM('Január-December'!Y337:Y367)</f>
        <v>49.600000000000009</v>
      </c>
      <c r="AE14" s="280">
        <f>MAX('Január-December'!Z337:Z367)</f>
        <v>5</v>
      </c>
      <c r="AF14" s="281">
        <f>MAX('Január-December'!AA337:AA367)</f>
        <v>5</v>
      </c>
      <c r="AG14" s="282"/>
    </row>
    <row r="15" spans="1:33" s="243" customFormat="1" ht="16.2" thickBot="1" x14ac:dyDescent="0.35">
      <c r="A15" s="231">
        <v>2019</v>
      </c>
      <c r="B15" s="232">
        <f>MAX(B3,B4,B5,B6,B7,B8,B9,B10,B11,B12,B13,B14)</f>
        <v>32.4</v>
      </c>
      <c r="C15" s="233">
        <f>MIN(C3:C14)</f>
        <v>-17.3</v>
      </c>
      <c r="D15" s="233">
        <f>MAX(D3:D14)</f>
        <v>24.8</v>
      </c>
      <c r="E15" s="233">
        <f>MIN(E3:E14)</f>
        <v>1.3000000000000007</v>
      </c>
      <c r="F15" s="233">
        <f>AVERAGE(F3:F14)</f>
        <v>10.166357046850999</v>
      </c>
      <c r="G15" s="233">
        <f>AVERAGE(G3:G14)</f>
        <v>10.216605293164802</v>
      </c>
      <c r="H15" s="233">
        <f>MAX(H3,H4,H5,H6,H7,H8,H9,H10,H11,H12,H13,H14)</f>
        <v>25.774999999999999</v>
      </c>
      <c r="I15" s="234">
        <f>MIN(I3:I14)</f>
        <v>-11.324999999999999</v>
      </c>
      <c r="J15" s="232">
        <f>MAX(J14,J13,J12,J11,J10,J9,J8,J7,J6,J5,J4,J3)</f>
        <v>24.7</v>
      </c>
      <c r="K15" s="233">
        <f>MIN(K3:K14)</f>
        <v>-23.1156724480275</v>
      </c>
      <c r="L15" s="234">
        <f>AVERAGE(L3:L14)</f>
        <v>5.2579247404882326</v>
      </c>
      <c r="M15" s="235">
        <f>MAX(M3,M4,M5,M6,M7,M8,M9,M10,M11,M12,M13,M14)</f>
        <v>99</v>
      </c>
      <c r="N15" s="244">
        <f>SUM(N3,N4,N5,N6,N7,N8,N9,N10,N11,N12,N13,N14)</f>
        <v>115</v>
      </c>
      <c r="O15" s="236">
        <f>MIN(O3,O4,O5,O6,O7,O8,O9,O10,O11,O12,O13)</f>
        <v>15</v>
      </c>
      <c r="P15" s="236">
        <f>AVERAGE(P3:P14)</f>
        <v>73.656186116465861</v>
      </c>
      <c r="Q15" s="236">
        <f>MAX(Q3,Q4,Q5,Q6,Q7,Q8,Q9,Q10,Q11,Q12,Q13,Q14)</f>
        <v>97.100198412698418</v>
      </c>
      <c r="R15" s="237">
        <f>MIN(R3,R4,R5,R6,R7,R8,R9,R10,R11,R12,R13)</f>
        <v>43.078869047619051</v>
      </c>
      <c r="S15" s="238">
        <f>MAX(S3,S4,S5,S6,S7,S8,S9,S10,S11,S12,S13,S14)</f>
        <v>1044.4000000000001</v>
      </c>
      <c r="T15" s="239">
        <f>MIN(T3,T4,T5,T6,T7,T8,T9,T10,T11,T12,T13)</f>
        <v>986.95295946399199</v>
      </c>
      <c r="U15" s="246">
        <f>AVERAGE(U3:U14)</f>
        <v>1016.0433851084817</v>
      </c>
      <c r="V15" s="245">
        <f>MAX(V3,V4,V5,V6,V7,V8,V9,V10,V11,V12,V13,V14)</f>
        <v>17</v>
      </c>
      <c r="W15" s="240">
        <f>MAX(W3,W4,W5,W6,W7,W8,W9,W10,W11,W12,W13,W14)</f>
        <v>9.6857383594694575</v>
      </c>
      <c r="X15" s="240">
        <f>AVERAGE(X3,X4,X5,X6,X7,X8,X9,X10,X11,X12,X13,X14)</f>
        <v>1.613129379580031</v>
      </c>
      <c r="Y15" s="240">
        <f>MAX(Y3,Y4,Y5,Y6,Y7,Y8,Y9,Y10,Y11,Y12,Y13,Y14)</f>
        <v>4.9000000000000004</v>
      </c>
      <c r="Z15" s="240">
        <f>MIN(Z3,Z4,Z5,Z6,Z7,Z8,Z9,Z10,Z11,Z12,Z13)</f>
        <v>0.3</v>
      </c>
      <c r="AA15" s="294" t="s">
        <v>254</v>
      </c>
      <c r="AB15" s="247">
        <f>MAX(AB3,AB4,AB5,AB6,AB7,AB8,AB9,AB10,AB11,AB12,AB13,AB14)</f>
        <v>87.1</v>
      </c>
      <c r="AC15" s="241">
        <f>MAX(AC3,AC4,AC5,AC6,AC7,AC8,AC9,AC10,AC11,AC12,AC13,AC14)</f>
        <v>70.7</v>
      </c>
      <c r="AD15" s="241">
        <f>SUM(AD3:AD14)</f>
        <v>865.7</v>
      </c>
      <c r="AE15" s="242">
        <f>MAX(AE3,AE4,AE5,AE6,AE7,AE8,AE9,AE10,AE11,AE12,AE13,AE14)</f>
        <v>7.5</v>
      </c>
      <c r="AF15" s="242">
        <f>MAX(AF3,AF4,AF5,AF6,AF7,AF8,AF9,AF10,AF11,AF12,AF13,AF14)</f>
        <v>16</v>
      </c>
    </row>
    <row r="16" spans="1:33" s="369" customFormat="1" ht="15.6" x14ac:dyDescent="0.3">
      <c r="A16" s="363"/>
      <c r="B16" s="364"/>
      <c r="C16" s="364"/>
      <c r="D16" s="364"/>
      <c r="E16" s="364"/>
      <c r="F16" s="364"/>
      <c r="G16" s="364"/>
      <c r="H16" s="364"/>
      <c r="I16" s="364"/>
      <c r="J16" s="364"/>
      <c r="K16" s="364"/>
      <c r="L16" s="365"/>
      <c r="M16" s="365"/>
      <c r="N16" s="365"/>
      <c r="O16" s="366"/>
      <c r="P16" s="366"/>
      <c r="Q16" s="366"/>
      <c r="R16" s="367"/>
      <c r="S16" s="367"/>
      <c r="T16" s="367"/>
      <c r="U16" s="367"/>
      <c r="V16" s="367"/>
      <c r="W16" s="368"/>
      <c r="X16" s="368"/>
      <c r="Y16" s="368"/>
      <c r="AA16" s="370"/>
      <c r="AB16" s="371"/>
      <c r="AC16" s="371"/>
      <c r="AD16" s="371"/>
      <c r="AE16" s="372"/>
    </row>
    <row r="17" spans="1:31" s="369" customFormat="1" ht="15.6" x14ac:dyDescent="0.3">
      <c r="A17" s="363"/>
      <c r="B17" s="364"/>
      <c r="C17" s="364"/>
      <c r="D17" s="364"/>
      <c r="E17" s="364"/>
      <c r="F17" s="364"/>
      <c r="G17" s="364"/>
      <c r="H17" s="364"/>
      <c r="I17" s="364"/>
      <c r="J17" s="364"/>
      <c r="K17" s="364"/>
      <c r="L17" s="365"/>
      <c r="M17" s="365"/>
      <c r="N17" s="365"/>
      <c r="O17" s="366"/>
      <c r="P17" s="366"/>
      <c r="Q17" s="366"/>
      <c r="R17" s="367"/>
      <c r="S17" s="367"/>
      <c r="T17" s="367"/>
      <c r="U17" s="367"/>
      <c r="V17" s="367"/>
      <c r="W17" s="368"/>
      <c r="X17" s="368"/>
      <c r="Y17" s="368"/>
      <c r="AA17" s="370"/>
      <c r="AB17" s="371"/>
      <c r="AC17" s="371"/>
      <c r="AD17" s="371"/>
      <c r="AE17" s="372"/>
    </row>
    <row r="18" spans="1:31" s="369" customFormat="1" ht="15.6" x14ac:dyDescent="0.3">
      <c r="A18" s="363"/>
      <c r="B18" s="364"/>
      <c r="C18" s="364"/>
      <c r="D18" s="364"/>
      <c r="E18" s="364"/>
      <c r="F18" s="364"/>
      <c r="G18" s="364"/>
      <c r="H18" s="364"/>
      <c r="I18" s="364"/>
      <c r="J18" s="364"/>
      <c r="K18" s="364"/>
      <c r="L18" s="365"/>
      <c r="M18" s="365"/>
      <c r="N18" s="365"/>
      <c r="O18" s="366"/>
      <c r="P18" s="366"/>
      <c r="Q18" s="366"/>
      <c r="R18" s="367"/>
      <c r="S18" s="367"/>
      <c r="T18" s="367"/>
      <c r="U18" s="367"/>
      <c r="V18" s="367"/>
      <c r="W18" s="368"/>
      <c r="X18" s="368"/>
      <c r="Y18" s="368"/>
      <c r="AA18" s="370"/>
      <c r="AB18" s="371"/>
      <c r="AC18" s="371"/>
      <c r="AD18" s="371"/>
      <c r="AE18" s="372"/>
    </row>
    <row r="19" spans="1:31" s="373" customFormat="1" x14ac:dyDescent="0.3">
      <c r="B19" s="374"/>
      <c r="C19" s="374"/>
      <c r="D19" s="374"/>
      <c r="E19" s="374"/>
      <c r="F19" s="374"/>
      <c r="G19" s="374"/>
      <c r="H19" s="374"/>
      <c r="I19" s="374"/>
      <c r="J19" s="374"/>
      <c r="K19" s="374"/>
      <c r="L19" s="375"/>
      <c r="M19" s="375"/>
      <c r="N19" s="375"/>
      <c r="O19" s="376"/>
      <c r="P19" s="376"/>
      <c r="Q19" s="376"/>
      <c r="R19" s="377"/>
      <c r="S19" s="377"/>
      <c r="T19" s="377"/>
      <c r="U19" s="377"/>
      <c r="V19" s="377"/>
      <c r="W19" s="378"/>
      <c r="X19" s="378"/>
      <c r="Y19" s="378"/>
      <c r="AA19" s="379"/>
      <c r="AB19" s="380"/>
      <c r="AC19" s="380"/>
      <c r="AD19" s="381"/>
      <c r="AE19" s="381"/>
    </row>
    <row r="20" spans="1:31" s="373" customFormat="1" x14ac:dyDescent="0.3">
      <c r="B20" s="374"/>
      <c r="C20" s="374"/>
      <c r="D20" s="374"/>
      <c r="E20" s="374"/>
      <c r="F20" s="374"/>
      <c r="G20" s="374"/>
      <c r="H20" s="374"/>
      <c r="I20" s="374"/>
      <c r="J20" s="374"/>
      <c r="K20" s="374"/>
      <c r="L20" s="375"/>
      <c r="M20" s="375"/>
      <c r="N20" s="375"/>
      <c r="O20" s="376"/>
      <c r="P20" s="376"/>
      <c r="Q20" s="376"/>
      <c r="R20" s="377"/>
      <c r="S20" s="377"/>
      <c r="T20" s="377"/>
      <c r="U20" s="377"/>
      <c r="V20" s="377"/>
      <c r="W20" s="378"/>
      <c r="X20" s="378"/>
      <c r="Y20" s="378"/>
      <c r="AA20" s="379"/>
      <c r="AB20" s="380"/>
      <c r="AC20" s="380"/>
      <c r="AD20" s="381"/>
      <c r="AE20" s="381"/>
    </row>
    <row r="35" spans="2:31" s="56" customFormat="1" x14ac:dyDescent="0.3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8"/>
      <c r="M35" s="58"/>
      <c r="N35" s="58"/>
      <c r="O35" s="59"/>
      <c r="P35" s="59"/>
      <c r="Q35" s="59"/>
      <c r="R35" s="60"/>
      <c r="S35" s="60"/>
      <c r="T35" s="60"/>
      <c r="U35" s="60"/>
      <c r="V35" s="60"/>
      <c r="W35" s="61"/>
      <c r="X35" s="61"/>
      <c r="Y35" s="61"/>
      <c r="AA35" s="62"/>
      <c r="AB35" s="63"/>
      <c r="AC35" s="63"/>
      <c r="AD35" s="64"/>
      <c r="AE35" s="64"/>
    </row>
  </sheetData>
  <autoFilter ref="A3:A15">
    <filterColumn colId="0">
      <colorFilter dxfId="160"/>
    </filterColumn>
  </autoFilter>
  <mergeCells count="6">
    <mergeCell ref="AB1:AF1"/>
    <mergeCell ref="V1:AA1"/>
    <mergeCell ref="S1:U1"/>
    <mergeCell ref="J1:L1"/>
    <mergeCell ref="B1:I1"/>
    <mergeCell ref="M1:R1"/>
  </mergeCells>
  <conditionalFormatting sqref="B3:I14">
    <cfRule type="cellIs" dxfId="11" priority="14" operator="equal">
      <formula>0</formula>
    </cfRule>
  </conditionalFormatting>
  <conditionalFormatting sqref="J3:Z14 AB3:AF14">
    <cfRule type="cellIs" dxfId="10" priority="13" operator="equal">
      <formula>0</formula>
    </cfRule>
  </conditionalFormatting>
  <pageMargins left="0.7" right="0.7" top="0.75" bottom="0.75" header="0.3" footer="0.3"/>
  <pageSetup paperSize="9" orientation="portrait" r:id="rId1"/>
  <ignoredErrors>
    <ignoredError sqref="R15:S15 X15 AD15 J15" formula="1"/>
    <ignoredError sqref="S9:Z9 F3:R3 F9:R9 S8:Z8 AB8:AF8 AB9:AF9 S10:Z10 AB10:AF10 S11:Z11 AB11:AF11 F14:R14 G13:Z13 AB13:AF13 S14:Z14 AB14:AF14 S3:Z3 AB3:AF3 S4:Z4 AB4:AF4 S5:Z5 AB5:AF5 S6:Z6 AB6:AF6 S7:Z7 AB7:AF7 S12:Z12 AB12:AF12 F4:R4 F5:R5 F6:R6 F7:R7 F8:R8 C6 C5 C3 B4:E4 B3 D3:E3 B5 D5:E5 B6 D6:E6 B15:C15 E15 B7:C7 B8:C8 B9:C9 B10:C10 B11:C11 B13:C13 B12:C12 B14:C14 F12:R12 F11:R11 F10:R10" formulaRange="1"/>
    <ignoredError sqref="D15" formula="1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5"/>
  <sheetViews>
    <sheetView zoomScale="85" zoomScaleNormal="85" workbookViewId="0">
      <selection activeCell="C17" sqref="C17"/>
    </sheetView>
  </sheetViews>
  <sheetFormatPr defaultRowHeight="14.4" x14ac:dyDescent="0.3"/>
  <cols>
    <col min="1" max="1" width="11.109375" customWidth="1"/>
    <col min="8" max="14" width="7.77734375" customWidth="1"/>
    <col min="15" max="16" width="7.5546875" customWidth="1"/>
    <col min="17" max="17" width="11.5546875" customWidth="1"/>
    <col min="18" max="18" width="11.109375" customWidth="1"/>
    <col min="20" max="20" width="12" customWidth="1"/>
    <col min="21" max="21" width="12.21875" customWidth="1"/>
    <col min="22" max="22" width="10.21875" customWidth="1"/>
    <col min="24" max="24" width="10.109375" customWidth="1"/>
    <col min="26" max="26" width="10.5546875" customWidth="1"/>
    <col min="29" max="29" width="10.109375" customWidth="1"/>
  </cols>
  <sheetData>
    <row r="1" spans="1:30" s="309" customFormat="1" ht="16.5" customHeight="1" thickBot="1" x14ac:dyDescent="0.35">
      <c r="A1" s="549" t="s">
        <v>1</v>
      </c>
      <c r="B1" s="551" t="s">
        <v>104</v>
      </c>
      <c r="C1" s="552"/>
      <c r="D1" s="552"/>
      <c r="E1" s="552"/>
      <c r="F1" s="552"/>
      <c r="G1" s="553"/>
      <c r="H1" s="554" t="s">
        <v>103</v>
      </c>
      <c r="I1" s="555"/>
      <c r="J1" s="555"/>
      <c r="K1" s="555"/>
      <c r="L1" s="556"/>
      <c r="M1" s="541" t="s">
        <v>472</v>
      </c>
      <c r="N1" s="541"/>
      <c r="O1" s="541"/>
      <c r="P1" s="541"/>
      <c r="Q1" s="541"/>
      <c r="R1" s="542"/>
      <c r="S1" s="543" t="s">
        <v>14</v>
      </c>
      <c r="T1" s="544"/>
      <c r="U1" s="544"/>
      <c r="V1" s="544"/>
      <c r="W1" s="544"/>
      <c r="X1" s="544"/>
      <c r="Y1" s="545"/>
      <c r="Z1" s="546" t="s">
        <v>197</v>
      </c>
      <c r="AA1" s="547"/>
      <c r="AB1" s="547"/>
      <c r="AC1" s="548"/>
      <c r="AD1" s="311"/>
    </row>
    <row r="2" spans="1:30" s="308" customFormat="1" ht="45.75" customHeight="1" thickBot="1" x14ac:dyDescent="0.35">
      <c r="A2" s="550"/>
      <c r="B2" s="303" t="s">
        <v>102</v>
      </c>
      <c r="C2" s="304" t="s">
        <v>101</v>
      </c>
      <c r="D2" s="304" t="s">
        <v>100</v>
      </c>
      <c r="E2" s="304" t="s">
        <v>98</v>
      </c>
      <c r="F2" s="305" t="s">
        <v>99</v>
      </c>
      <c r="G2" s="305" t="s">
        <v>97</v>
      </c>
      <c r="H2" s="306" t="s">
        <v>179</v>
      </c>
      <c r="I2" s="248" t="s">
        <v>117</v>
      </c>
      <c r="J2" s="307" t="s">
        <v>116</v>
      </c>
      <c r="K2" s="307" t="s">
        <v>115</v>
      </c>
      <c r="L2" s="359" t="s">
        <v>105</v>
      </c>
      <c r="M2" s="436" t="s">
        <v>473</v>
      </c>
      <c r="N2" s="361" t="s">
        <v>201</v>
      </c>
      <c r="O2" s="357" t="s">
        <v>180</v>
      </c>
      <c r="P2" s="361" t="s">
        <v>192</v>
      </c>
      <c r="Q2" s="362" t="s">
        <v>443</v>
      </c>
      <c r="R2" s="358" t="s">
        <v>188</v>
      </c>
      <c r="S2" s="360" t="s">
        <v>187</v>
      </c>
      <c r="T2" s="191" t="s">
        <v>186</v>
      </c>
      <c r="U2" s="190" t="s">
        <v>185</v>
      </c>
      <c r="V2" s="190" t="s">
        <v>486</v>
      </c>
      <c r="W2" s="312" t="s">
        <v>184</v>
      </c>
      <c r="X2" s="104" t="s">
        <v>191</v>
      </c>
      <c r="Y2" s="104" t="s">
        <v>183</v>
      </c>
      <c r="Z2" s="192" t="s">
        <v>190</v>
      </c>
      <c r="AA2" s="192" t="s">
        <v>194</v>
      </c>
      <c r="AB2" s="300" t="s">
        <v>196</v>
      </c>
      <c r="AC2" s="301" t="s">
        <v>195</v>
      </c>
      <c r="AD2" s="310"/>
    </row>
    <row r="3" spans="1:30" s="91" customFormat="1" x14ac:dyDescent="0.3">
      <c r="A3" s="91" t="s">
        <v>23</v>
      </c>
      <c r="B3" s="91">
        <f>COUNTIF('Január-December'!E3:E33,"&lt;=-10")</f>
        <v>0</v>
      </c>
      <c r="C3" s="91">
        <f>COUNTIF('Január-December'!E3:E33,"&lt;=-0.1")</f>
        <v>16</v>
      </c>
      <c r="D3" s="91">
        <f>COUNTIF('Január-December'!F3:F33,"&lt;=0")</f>
        <v>29</v>
      </c>
      <c r="E3" s="91">
        <f>COUNTIF('Január-December'!E3:E33,"&gt;="&amp;25)</f>
        <v>0</v>
      </c>
      <c r="F3" s="91">
        <f>COUNTIF('Január-December'!E3:E33,"&gt;=30")</f>
        <v>0</v>
      </c>
      <c r="G3" s="91">
        <f>COUNTIF('Január-December'!AB3:AB33,"*tropická noc*")</f>
        <v>0</v>
      </c>
      <c r="H3" s="91">
        <f>COUNTIF(búrky!E5:E7,"*w*")</f>
        <v>0</v>
      </c>
      <c r="I3" s="91">
        <f>COUNTIF(búrky!E5:E7,"*P*")</f>
        <v>0</v>
      </c>
      <c r="J3" s="102">
        <f>COUNTIF(búrky!E5:E7,"*L*")</f>
        <v>0</v>
      </c>
      <c r="K3" s="103">
        <f>COUNTIF(búrky!E5:E7,"*V*")</f>
        <v>0</v>
      </c>
      <c r="L3" s="98">
        <f>SUM(I3:K3)</f>
        <v>0</v>
      </c>
      <c r="M3" s="98">
        <f>COUNTIF('Január-December'!AB3:AB33,"*zákal*")</f>
        <v>0</v>
      </c>
      <c r="N3" s="98">
        <f>COUNTIF('Január-December'!AB3:AB33,"*dymno*")</f>
        <v>2</v>
      </c>
      <c r="O3" s="91">
        <f>COUNTIF('Január-December'!AB3:AB33,"*hmla*")</f>
        <v>1</v>
      </c>
      <c r="P3" s="98">
        <f>COUNTIF('Január-December'!AB3:AB33,"*slnečný deň*")</f>
        <v>0</v>
      </c>
      <c r="Q3" s="315">
        <f>COUNTIF('Január-December'!AB3:AB33,"*0/8*")</f>
        <v>0</v>
      </c>
      <c r="R3" s="315">
        <f>COUNTIF('Január-December'!AB3:AB33,"*8/8*")</f>
        <v>21</v>
      </c>
      <c r="S3" s="91">
        <f t="shared" ref="S3:S14" si="0">SUM(T3,U3)</f>
        <v>26</v>
      </c>
      <c r="T3" s="315">
        <f>COUNTIF('Január-December'!W3:W33,"*N*")</f>
        <v>7</v>
      </c>
      <c r="U3" s="315">
        <f>COUNTIF('Január-December'!W3:W33,"*Z*")</f>
        <v>19</v>
      </c>
      <c r="V3" s="315">
        <f>COUNTIF('Január-December'!W3:W33,"*U*")</f>
        <v>0</v>
      </c>
      <c r="W3" s="91">
        <f>COUNTIF('Január-December'!W3:W33,"*D*")</f>
        <v>7</v>
      </c>
      <c r="X3" s="91">
        <f>COUNTIF('Január-December'!W3:W33,"*K*")</f>
        <v>0</v>
      </c>
      <c r="Y3" s="91">
        <f>COUNTIF('Január-December'!W3:W33,"*S*")</f>
        <v>26</v>
      </c>
      <c r="Z3" s="91">
        <f>SUM(AA3:AC3)</f>
        <v>31</v>
      </c>
      <c r="AA3" s="91">
        <f>COUNTIF('Január-December'!AB3:AB33,"*SSP*")</f>
        <v>31</v>
      </c>
      <c r="AB3" s="91">
        <f>COUNTIF('Január-December'!AB3:AB33,"*NSP*")</f>
        <v>0</v>
      </c>
      <c r="AC3" s="91">
        <f>COUNTIF('Január-December'!AB3:AB33,"*poprašok*")</f>
        <v>0</v>
      </c>
    </row>
    <row r="4" spans="1:30" s="91" customFormat="1" x14ac:dyDescent="0.3">
      <c r="A4" s="86" t="s">
        <v>24</v>
      </c>
      <c r="B4" s="91">
        <f>COUNTIF('Január-December'!E34:E61,"&lt;=-10")</f>
        <v>0</v>
      </c>
      <c r="C4" s="91">
        <f>COUNTIF('Január-December'!E34:E61,"&lt;=-0.1")</f>
        <v>0</v>
      </c>
      <c r="D4" s="91">
        <f>COUNTIF('Január-December'!F34:F61,"&lt;=0")</f>
        <v>24</v>
      </c>
      <c r="E4" s="91">
        <f>COUNTIF('Január-December'!E34:E61,"&gt;="&amp;25)</f>
        <v>0</v>
      </c>
      <c r="F4" s="91">
        <f>COUNTIF('Január-December'!E34:E61,"&gt;=30")</f>
        <v>0</v>
      </c>
      <c r="G4" s="91">
        <f>COUNTIF('Január-December'!AB34:AB61,"*tropická noc*")</f>
        <v>0</v>
      </c>
      <c r="H4" s="91">
        <f>COUNTIF(búrky!E19:E21,"*w*")</f>
        <v>0</v>
      </c>
      <c r="I4" s="91">
        <f>COUNTIF(búrky!E19:E21,"*P*")</f>
        <v>0</v>
      </c>
      <c r="J4" s="91">
        <f>COUNTIF(búrky!E19:E21,"*L*")</f>
        <v>0</v>
      </c>
      <c r="K4" s="91">
        <f>COUNTIF(búrky!E19:E21,"*V*")</f>
        <v>0</v>
      </c>
      <c r="L4" s="98">
        <f t="shared" ref="L4:L14" si="1">SUM(I4:K4)</f>
        <v>0</v>
      </c>
      <c r="M4" s="91">
        <f>COUNTIF('Január-December'!AB34:AB61,"*zákal*")</f>
        <v>3</v>
      </c>
      <c r="N4" s="91">
        <f>COUNTIF('Január-December'!AB34:AB61,"*dymno*")</f>
        <v>2</v>
      </c>
      <c r="O4" s="91">
        <f>COUNTIF('Január-December'!AB34:AB61,"*hmla*")</f>
        <v>6</v>
      </c>
      <c r="P4" s="91">
        <f>COUNTIF('Január-December'!AB34:AB61,"*slnečný deň*")</f>
        <v>1</v>
      </c>
      <c r="Q4" s="316">
        <f>COUNTIF('Január-December'!AB34:AB61,"*0/8*")</f>
        <v>0</v>
      </c>
      <c r="R4" s="316">
        <f>COUNTIF('Január-December'!AB34:AB61,"*8/8*")</f>
        <v>6</v>
      </c>
      <c r="S4" s="91">
        <f t="shared" si="0"/>
        <v>7</v>
      </c>
      <c r="T4" s="316">
        <f>COUNTIF('Január-December'!W34:W61,"*N*")</f>
        <v>3</v>
      </c>
      <c r="U4" s="316">
        <f>COUNTIF('Január-December'!W34:W61,"*Z*")</f>
        <v>4</v>
      </c>
      <c r="V4" s="316">
        <f>COUNTIF('Január-December'!W34:W61,"*U*")</f>
        <v>0</v>
      </c>
      <c r="W4" s="91">
        <f>COUNTIF('Január-December'!W34:W61,"*D*")</f>
        <v>5</v>
      </c>
      <c r="X4" s="91">
        <f>COUNTIF('Január-December'!W34:W61,"*K*")</f>
        <v>0</v>
      </c>
      <c r="Y4" s="91">
        <f>COUNTIF('Január-December'!W34:W61,"*S*")</f>
        <v>3</v>
      </c>
      <c r="Z4" s="91">
        <f t="shared" ref="Z4:Z14" si="2">SUM(AA4:AC4)</f>
        <v>16</v>
      </c>
      <c r="AA4" s="91">
        <f>COUNTIF('Január-December'!AB34:AB61,"*SSP*")</f>
        <v>2</v>
      </c>
      <c r="AB4" s="91">
        <f>COUNTIF('Január-December'!AB34:AB61,"*NSP*")</f>
        <v>13</v>
      </c>
      <c r="AC4" s="91">
        <f>COUNTIF('Január-December'!AB34:AB61,"*poprašok*")</f>
        <v>1</v>
      </c>
    </row>
    <row r="5" spans="1:30" s="91" customFormat="1" x14ac:dyDescent="0.3">
      <c r="A5" s="86" t="s">
        <v>25</v>
      </c>
      <c r="B5" s="91">
        <f>COUNTIF('Január-December'!E62:E92,"&lt;=-10")</f>
        <v>0</v>
      </c>
      <c r="C5" s="91">
        <f>COUNTIF('Január-December'!E62:E92,"&lt;=-0.1")</f>
        <v>0</v>
      </c>
      <c r="D5" s="91">
        <f>COUNTIF('Január-December'!F62:F92,"&lt;=0")</f>
        <v>14</v>
      </c>
      <c r="E5" s="91">
        <f>COUNTIF('Január-December'!E62:E92,"&gt;="&amp;25)</f>
        <v>0</v>
      </c>
      <c r="F5" s="91">
        <f>COUNTIF('Január-December'!E62:E92,"&gt;=30")</f>
        <v>0</v>
      </c>
      <c r="G5" s="91">
        <f>COUNTIF('Január-December'!AB62:AB92,"*tropická noc*")</f>
        <v>0</v>
      </c>
      <c r="H5" s="91">
        <f>COUNTIF(búrky!E33:E35,"*w*")</f>
        <v>0</v>
      </c>
      <c r="I5" s="91">
        <f>COUNTIF(búrky!E33:E35,"*P*")</f>
        <v>0</v>
      </c>
      <c r="J5" s="100">
        <f>COUNTIF(búrky!E33:E35,"*L*")</f>
        <v>0</v>
      </c>
      <c r="K5" s="96">
        <f>COUNTIF(búrky!E33:E35,"*V*")</f>
        <v>0</v>
      </c>
      <c r="L5" s="98">
        <f t="shared" si="1"/>
        <v>0</v>
      </c>
      <c r="M5" s="91">
        <f>COUNTIF('Január-December'!AB62:AB92,"*zákal*")</f>
        <v>1</v>
      </c>
      <c r="N5" s="91">
        <f>COUNTIF('Január-December'!AB62:AB92,"*dymno*")</f>
        <v>1</v>
      </c>
      <c r="O5" s="91">
        <f>COUNTIF('Január-December'!AB62:AB92,"*hmla*")</f>
        <v>1</v>
      </c>
      <c r="P5" s="91">
        <f>COUNTIF('Január-December'!AB62:AB92,"*slnečný deň*")</f>
        <v>2</v>
      </c>
      <c r="Q5" s="316">
        <f>COUNTIF('Január-December'!AB62:AB92,"*0/8*")</f>
        <v>0</v>
      </c>
      <c r="R5" s="316">
        <f>COUNTIF('Január-December'!AB62:AB92,"*8/8*")</f>
        <v>1</v>
      </c>
      <c r="S5" s="91">
        <f t="shared" si="0"/>
        <v>14</v>
      </c>
      <c r="T5" s="316">
        <f>COUNTIF('Január-December'!W62:W92,"*N*")</f>
        <v>4</v>
      </c>
      <c r="U5" s="316">
        <f>COUNTIF('Január-December'!W62:W92,"*Z*")</f>
        <v>10</v>
      </c>
      <c r="V5" s="316">
        <f>COUNTIF('Január-December'!W62:W92,"*U*")</f>
        <v>0</v>
      </c>
      <c r="W5" s="91">
        <f>COUNTIF('Január-December'!W62:W92,"*D*")</f>
        <v>13</v>
      </c>
      <c r="X5" s="91">
        <f>COUNTIF('Január-December'!W62:W92,"*K*")</f>
        <v>0</v>
      </c>
      <c r="Y5" s="91">
        <f>COUNTIF('Január-December'!W62:W92,"*S*")</f>
        <v>2</v>
      </c>
      <c r="Z5" s="91">
        <f t="shared" si="2"/>
        <v>0</v>
      </c>
      <c r="AA5" s="91">
        <f>COUNTIF('Január-December'!AB62:AB92,"*SSP*")</f>
        <v>0</v>
      </c>
      <c r="AB5" s="91">
        <f>COUNTIF('Január-December'!AB62:AB92,"*NSP*")</f>
        <v>0</v>
      </c>
      <c r="AC5" s="91">
        <f>COUNTIF('Január-December'!AB62:AB92,"*poprašok*")</f>
        <v>0</v>
      </c>
    </row>
    <row r="6" spans="1:30" s="91" customFormat="1" x14ac:dyDescent="0.3">
      <c r="A6" s="86" t="s">
        <v>26</v>
      </c>
      <c r="B6" s="91">
        <f>COUNTIF('Január-December'!E93:E122,"&lt;=-10")</f>
        <v>0</v>
      </c>
      <c r="C6" s="91">
        <f>COUNTIF('Január-December'!E93:E122,"&lt;=-0.1")</f>
        <v>0</v>
      </c>
      <c r="D6" s="91">
        <f>COUNTIF('Január-December'!F93:F122,"&lt;=0")</f>
        <v>6</v>
      </c>
      <c r="E6" s="91">
        <f>COUNTIF('Január-December'!E93:E122,"&gt;="&amp;25)</f>
        <v>1</v>
      </c>
      <c r="F6" s="91">
        <f>COUNTIF('Január-December'!E93:E122,"&gt;=30")</f>
        <v>0</v>
      </c>
      <c r="G6" s="91">
        <f>COUNTIF('Január-December'!AB93:AB122,"*tropická noc*")</f>
        <v>0</v>
      </c>
      <c r="H6" s="91">
        <f>COUNTIF(búrky!E47:E51,"*w*")</f>
        <v>0</v>
      </c>
      <c r="I6" s="91">
        <f>COUNTIF(búrky!E47:E51,"*P*")</f>
        <v>0</v>
      </c>
      <c r="J6" s="100">
        <f>COUNTIF(búrky!E47:E51,"*L*")</f>
        <v>0</v>
      </c>
      <c r="K6" s="96">
        <f>COUNTIF(búrky!E47:E51,"*V*")</f>
        <v>0</v>
      </c>
      <c r="L6" s="98">
        <f t="shared" si="1"/>
        <v>0</v>
      </c>
      <c r="M6" s="91">
        <f>COUNTIF('Január-December'!AB93:AB122,"*zákal*")</f>
        <v>0</v>
      </c>
      <c r="N6" s="91">
        <f>COUNTIF('Január-December'!AB93:AB122,"*dymno*")</f>
        <v>0</v>
      </c>
      <c r="O6" s="91">
        <f>COUNTIF('Január-December'!AB93:AB122,"*hmla*")</f>
        <v>3</v>
      </c>
      <c r="P6" s="91">
        <f>COUNTIF('Január-December'!AB93:AB122,"*slnečný deň*")</f>
        <v>3</v>
      </c>
      <c r="Q6" s="316">
        <f>COUNTIF('Január-December'!AB93:AB122,"*0/8*")</f>
        <v>2</v>
      </c>
      <c r="R6" s="316">
        <f>COUNTIF('Január-December'!AB93:AB122,"*8/8*")</f>
        <v>4</v>
      </c>
      <c r="S6" s="91">
        <f t="shared" si="0"/>
        <v>13</v>
      </c>
      <c r="T6" s="316">
        <f>COUNTIF('Január-December'!W93:W122,"*N*")</f>
        <v>6</v>
      </c>
      <c r="U6" s="316">
        <f>COUNTIF('Január-December'!W93:W122,"*Z*")</f>
        <v>7</v>
      </c>
      <c r="V6" s="316">
        <f>COUNTIF('Január-December'!W93:W122,"*U*")</f>
        <v>0</v>
      </c>
      <c r="W6" s="91">
        <f>COUNTIF('Január-December'!W93:W122,"*D*")</f>
        <v>13</v>
      </c>
      <c r="X6" s="91">
        <f>COUNTIF('Január-December'!W93:W122,"*K*")</f>
        <v>0</v>
      </c>
      <c r="Y6" s="91">
        <f>COUNTIF('Január-December'!W93:W122,"*S*")</f>
        <v>0</v>
      </c>
      <c r="Z6" s="91">
        <f t="shared" si="2"/>
        <v>0</v>
      </c>
      <c r="AA6" s="91">
        <f>COUNTIF('Január-December'!AB93:AB122,"*SSP*")</f>
        <v>0</v>
      </c>
      <c r="AB6" s="91">
        <f>COUNTIF('Január-December'!AB93:AB122,"*NSP*")</f>
        <v>0</v>
      </c>
      <c r="AC6" s="91">
        <f>COUNTIF('Január-December'!AB93:AB122,"*poprašok*")</f>
        <v>0</v>
      </c>
    </row>
    <row r="7" spans="1:30" s="91" customFormat="1" x14ac:dyDescent="0.3">
      <c r="A7" s="86" t="s">
        <v>27</v>
      </c>
      <c r="B7" s="91">
        <f>COUNTIF('Január-December'!E123:E153,"&lt;=-10")</f>
        <v>0</v>
      </c>
      <c r="C7" s="91">
        <f>COUNTIF('Január-December'!E123:E153,"&lt;=-0.1")</f>
        <v>0</v>
      </c>
      <c r="D7" s="91">
        <f>COUNTIF('Január-December'!F123:F153,"&lt;=0")</f>
        <v>0</v>
      </c>
      <c r="E7" s="91">
        <f>COUNTIF('Január-December'!E123:E153,"&gt;="&amp;25)</f>
        <v>0</v>
      </c>
      <c r="F7" s="91">
        <f>COUNTIF('Január-December'!E123:E153,"&gt;=30")</f>
        <v>0</v>
      </c>
      <c r="G7" s="91">
        <f>COUNTIF('Január-December'!AB123:AB153,"*tropická noc*")</f>
        <v>0</v>
      </c>
      <c r="H7" s="91">
        <f>COUNTIF(búrky!E63:E68,"*w*")</f>
        <v>3</v>
      </c>
      <c r="I7" s="91">
        <f>COUNTIF(búrky!E63:E68,"*P*")</f>
        <v>2</v>
      </c>
      <c r="J7" s="100">
        <f>COUNTIF(búrky!E63:E68,"*L*")</f>
        <v>0</v>
      </c>
      <c r="K7" s="96">
        <f>COUNTIF(búrky!E63:E68,"*V*")</f>
        <v>2</v>
      </c>
      <c r="L7" s="98">
        <f t="shared" si="1"/>
        <v>4</v>
      </c>
      <c r="M7" s="91">
        <f>COUNTIF('Január-December'!AB123:AB153,"*zákal*")</f>
        <v>0</v>
      </c>
      <c r="N7" s="91">
        <f>COUNTIF('Január-December'!AB123:AB153,"*dymno*")</f>
        <v>1</v>
      </c>
      <c r="O7" s="91">
        <f>COUNTIF('Január-December'!AB123:AB153,"*hmla*")</f>
        <v>4</v>
      </c>
      <c r="P7" s="91">
        <f>COUNTIF('Január-December'!AB123:AB153,"*slnečný deň*")</f>
        <v>0</v>
      </c>
      <c r="Q7" s="316">
        <f>COUNTIF('Január-December'!AB123:AB153,"*0/8*")</f>
        <v>0</v>
      </c>
      <c r="R7" s="316">
        <f>COUNTIF('Január-December'!AB123:AB153,"*8/8*")</f>
        <v>10</v>
      </c>
      <c r="S7" s="91">
        <f t="shared" si="0"/>
        <v>21</v>
      </c>
      <c r="T7" s="316">
        <f>COUNTIF('Január-December'!W123:W153,"*N*")</f>
        <v>1</v>
      </c>
      <c r="U7" s="316">
        <f>COUNTIF('Január-December'!W123:W153,"*Z*")</f>
        <v>20</v>
      </c>
      <c r="V7" s="316">
        <f>COUNTIF('Január-December'!W123:W153,"*U*")</f>
        <v>0</v>
      </c>
      <c r="W7" s="91">
        <f>COUNTIF('Január-December'!W123:W153,"*D*")</f>
        <v>21</v>
      </c>
      <c r="X7" s="91">
        <f>COUNTIF('Január-December'!W123:W153,"*K*")</f>
        <v>1</v>
      </c>
      <c r="Y7" s="91">
        <f>COUNTIF('Január-December'!W123:W153,"*S*")</f>
        <v>0</v>
      </c>
      <c r="Z7" s="91">
        <f t="shared" si="2"/>
        <v>0</v>
      </c>
      <c r="AA7" s="91">
        <f>COUNTIF('Január-December'!AB123:AB153,"*SSP*")</f>
        <v>0</v>
      </c>
      <c r="AB7" s="91">
        <f>COUNTIF('Január-December'!AB123:AB153,"*NSP*")</f>
        <v>0</v>
      </c>
      <c r="AC7" s="91">
        <f>COUNTIF('Január-December'!AB123:AB153,"*poprašok*")</f>
        <v>0</v>
      </c>
    </row>
    <row r="8" spans="1:30" s="91" customFormat="1" x14ac:dyDescent="0.3">
      <c r="A8" s="86" t="s">
        <v>28</v>
      </c>
      <c r="B8" s="91">
        <f>COUNTIF('Január-December'!E154:E183,"&lt;=-10")</f>
        <v>0</v>
      </c>
      <c r="C8" s="91">
        <f>COUNTIF('Január-December'!E154:E183,"&lt;=-0.1")</f>
        <v>0</v>
      </c>
      <c r="D8" s="91">
        <f>COUNTIF('Január-December'!F154:F183,"&lt;=0")</f>
        <v>0</v>
      </c>
      <c r="E8" s="91">
        <f>COUNTIF('Január-December'!E154:E183,"&gt;="&amp;25)</f>
        <v>25</v>
      </c>
      <c r="F8" s="91">
        <f>COUNTIF('Január-December'!E154:E183,"&gt;=30")</f>
        <v>10</v>
      </c>
      <c r="G8" s="91">
        <f>COUNTIF('Január-December'!AB154:AB183,"*tropická noc*")</f>
        <v>0</v>
      </c>
      <c r="H8" s="91">
        <f>COUNTIF(búrky!E80:E89,"*w*")</f>
        <v>7</v>
      </c>
      <c r="I8" s="91">
        <f>COUNTIF(búrky!E80:E89,"*P*")</f>
        <v>6</v>
      </c>
      <c r="J8" s="100">
        <f>COUNTIF(búrky!E80:E89,"*L*")</f>
        <v>1</v>
      </c>
      <c r="K8" s="96">
        <f>COUNTIF(búrky!E80:E89,"*V*")</f>
        <v>2</v>
      </c>
      <c r="L8" s="98">
        <f t="shared" si="1"/>
        <v>9</v>
      </c>
      <c r="M8" s="91">
        <f>COUNTIF('Január-December'!AB154:AB183,"*zákal*")</f>
        <v>1</v>
      </c>
      <c r="N8" s="91">
        <f>COUNTIF('Január-December'!AB154:AB183,"*dymno*")</f>
        <v>5</v>
      </c>
      <c r="O8" s="91">
        <f>COUNTIF('Január-December'!AB154:AB183,"*hmla*")</f>
        <v>11</v>
      </c>
      <c r="P8" s="91">
        <f>COUNTIF('Január-December'!AB154:AB183,"*slnečný deň*")</f>
        <v>7</v>
      </c>
      <c r="Q8" s="316">
        <f>COUNTIF('Január-December'!AB154:AB183,"*0/8*")</f>
        <v>2</v>
      </c>
      <c r="R8" s="316">
        <f>COUNTIF('Január-December'!AB154:AB183,"*8/8*")</f>
        <v>0</v>
      </c>
      <c r="S8" s="91">
        <f t="shared" si="0"/>
        <v>11</v>
      </c>
      <c r="T8" s="316">
        <f>COUNTIF('Január-December'!W154:W183,"*N*")</f>
        <v>3</v>
      </c>
      <c r="U8" s="316">
        <f>COUNTIF('Január-December'!W154:W183,"*Z*")</f>
        <v>8</v>
      </c>
      <c r="V8" s="316">
        <f>COUNTIF('Január-December'!W154:W183,"*U*")</f>
        <v>1</v>
      </c>
      <c r="W8" s="91">
        <f>COUNTIF('Január-December'!W154:W183,"*D*")</f>
        <v>11</v>
      </c>
      <c r="X8" s="91">
        <f>COUNTIF('Január-December'!W154:W183,"*K*")</f>
        <v>3</v>
      </c>
      <c r="Y8" s="91">
        <f>COUNTIF('Január-December'!W154:W183,"*S*")</f>
        <v>0</v>
      </c>
      <c r="Z8" s="91">
        <f t="shared" si="2"/>
        <v>0</v>
      </c>
      <c r="AA8" s="91">
        <f>COUNTIF('Január-December'!AB154:AB183,"*SSP*")</f>
        <v>0</v>
      </c>
      <c r="AB8" s="91">
        <f>COUNTIF('Január-December'!AB154:AB183,"*NSP*")</f>
        <v>0</v>
      </c>
      <c r="AC8" s="91">
        <f>COUNTIF('Január-December'!AB154:AB183,"*poprašok*")</f>
        <v>0</v>
      </c>
    </row>
    <row r="9" spans="1:30" s="91" customFormat="1" x14ac:dyDescent="0.3">
      <c r="A9" s="86" t="s">
        <v>29</v>
      </c>
      <c r="B9" s="91">
        <f>COUNTIF('Január-December'!E184:E214,"&lt;=-10")</f>
        <v>0</v>
      </c>
      <c r="C9" s="91">
        <f>COUNTIF('Január-December'!E184:E214,"&lt;=-0.1")</f>
        <v>0</v>
      </c>
      <c r="D9" s="91">
        <f>COUNTIF('Január-December'!F184:F214,"&lt;=0")</f>
        <v>0</v>
      </c>
      <c r="E9" s="91">
        <f>COUNTIF('Január-December'!E184:E214,"&gt;="&amp;25)</f>
        <v>19</v>
      </c>
      <c r="F9" s="91">
        <f>COUNTIF('Január-December'!E184:E214,"&gt;=30")</f>
        <v>4</v>
      </c>
      <c r="G9" s="91">
        <f>COUNTIF('Január-December'!AB184:AB214,"*tropická noc*")</f>
        <v>0</v>
      </c>
      <c r="H9" s="91">
        <f>COUNTIF(búrky!E101:E119,"*w*")</f>
        <v>13</v>
      </c>
      <c r="I9" s="91">
        <f>COUNTIF(búrky!E101:E119,"*P*")</f>
        <v>10</v>
      </c>
      <c r="J9" s="100">
        <f>COUNTIF(búrky!E101:E119,"*L*")</f>
        <v>0</v>
      </c>
      <c r="K9" s="96">
        <f>COUNTIF(búrky!E101:E119,"*V*")</f>
        <v>8</v>
      </c>
      <c r="L9" s="98">
        <f>SUM(I9:K9)</f>
        <v>18</v>
      </c>
      <c r="M9" s="91">
        <f>COUNTIF('Január-December'!AB184:AB214,"*zákal*")</f>
        <v>0</v>
      </c>
      <c r="N9" s="91">
        <f>COUNTIF('Január-December'!AB184:AB214,"*hmla*")</f>
        <v>5</v>
      </c>
      <c r="O9" s="91">
        <f>COUNTIF('Január-December'!AB184:AB214,"*hmla*")</f>
        <v>5</v>
      </c>
      <c r="P9" s="91">
        <f>COUNTIF('Január-December'!AB184:AB214,"*slnečný deň*")</f>
        <v>2</v>
      </c>
      <c r="Q9" s="316">
        <f>COUNTIF('Január-December'!AB184:AB214,"*0/8*")</f>
        <v>0</v>
      </c>
      <c r="R9" s="316">
        <f>COUNTIF('Január-December'!AB184:AB214,"*8/8*")</f>
        <v>1</v>
      </c>
      <c r="S9" s="91">
        <f t="shared" si="0"/>
        <v>21</v>
      </c>
      <c r="T9" s="316">
        <f>COUNTIF('Január-December'!W184:W214,"*N*")</f>
        <v>5</v>
      </c>
      <c r="U9" s="316">
        <f>COUNTIF('Január-December'!W184:W214,"*Z*")</f>
        <v>16</v>
      </c>
      <c r="V9" s="316">
        <f>COUNTIF('Január-December'!W184:W214,"*U*")</f>
        <v>0</v>
      </c>
      <c r="W9" s="91">
        <f>COUNTIF('Január-December'!W184:W214,"*D*")</f>
        <v>21</v>
      </c>
      <c r="X9" s="91">
        <f>COUNTIF('Január-December'!W184:W214,"*K*")</f>
        <v>1</v>
      </c>
      <c r="Y9" s="91">
        <f>COUNTIF('Január-December'!W184:W214,"*S*")</f>
        <v>0</v>
      </c>
      <c r="Z9" s="91">
        <f t="shared" si="2"/>
        <v>0</v>
      </c>
      <c r="AA9" s="91">
        <f>COUNTIF('Január-December'!AB184:AB214,"*SSP*")</f>
        <v>0</v>
      </c>
      <c r="AB9" s="91">
        <f>COUNTIF('Január-December'!AB184:AB214,"*NSP*")</f>
        <v>0</v>
      </c>
      <c r="AC9" s="91">
        <f>COUNTIF('Január-December'!AB184:AB214,"*poprašok*")</f>
        <v>0</v>
      </c>
    </row>
    <row r="10" spans="1:30" s="91" customFormat="1" x14ac:dyDescent="0.3">
      <c r="A10" s="86" t="s">
        <v>30</v>
      </c>
      <c r="B10" s="91">
        <f>COUNTIF('Január-December'!E215:E245,"&lt;=-10")</f>
        <v>0</v>
      </c>
      <c r="C10" s="91">
        <f>COUNTIF('Január-December'!E215:E245,"&lt;=-0.1")</f>
        <v>0</v>
      </c>
      <c r="D10" s="91">
        <f>COUNTIF('Január-December'!F215:F245,"&lt;=0")</f>
        <v>0</v>
      </c>
      <c r="E10" s="91">
        <f>COUNTIF('Január-December'!E215:E245,"&gt;="&amp;25)</f>
        <v>24</v>
      </c>
      <c r="F10" s="91">
        <f>COUNTIF('Január-December'!E215:E245,"&gt;=30")</f>
        <v>8</v>
      </c>
      <c r="G10" s="91">
        <f>COUNTIF('Január-December'!AB215:AB245,"*tropická noc*")</f>
        <v>0</v>
      </c>
      <c r="H10" s="91">
        <f>COUNTIF(búrky!E131:E145,"*w*")</f>
        <v>10</v>
      </c>
      <c r="I10" s="91">
        <f>COUNTIF(búrky!E131:E145,"*P*")</f>
        <v>6</v>
      </c>
      <c r="J10" s="100">
        <f>COUNTIF(búrky!E131:E145,"*L*")</f>
        <v>2</v>
      </c>
      <c r="K10" s="96">
        <f>COUNTIF(búrky!E131:E145,"*V*")</f>
        <v>5</v>
      </c>
      <c r="L10" s="98">
        <f t="shared" si="1"/>
        <v>13</v>
      </c>
      <c r="M10" s="91">
        <f>COUNTIF('Január-December'!AB215:AB245,"*zákal*")</f>
        <v>0</v>
      </c>
      <c r="N10" s="91">
        <f>COUNTIF('Január-December'!AB215:AB245,"*dymno*")</f>
        <v>2</v>
      </c>
      <c r="O10" s="91">
        <f>COUNTIF('Január-December'!AB215:AB245,"*hmla*")</f>
        <v>14</v>
      </c>
      <c r="P10" s="91">
        <f>COUNTIF('Január-December'!AB215:AB245,"*slnečný deň*")</f>
        <v>3</v>
      </c>
      <c r="Q10" s="316">
        <f>COUNTIF('Január-December'!AB215:AB245,"*0/8*")</f>
        <v>0</v>
      </c>
      <c r="R10" s="316">
        <f>COUNTIF('Január-December'!AB215:AB245,"*8/8*")</f>
        <v>1</v>
      </c>
      <c r="S10" s="91">
        <f>SUM(T10,U10)</f>
        <v>13</v>
      </c>
      <c r="T10" s="316">
        <f>COUNTIF('Január-December'!W215:W245,"*N*")</f>
        <v>3</v>
      </c>
      <c r="U10" s="316">
        <f>COUNTIF('Január-December'!W215:W245,"*Z*")</f>
        <v>10</v>
      </c>
      <c r="V10" s="316">
        <f>COUNTIF('Január-December'!W215:W245,"*U*")</f>
        <v>2</v>
      </c>
      <c r="W10" s="91">
        <f>COUNTIF('Január-December'!W215:W245,"*D*")</f>
        <v>12</v>
      </c>
      <c r="X10" s="91">
        <f>COUNTIF('Január-December'!W215:W245,"*K*")</f>
        <v>1</v>
      </c>
      <c r="Y10" s="91">
        <f>COUNTIF('Január-December'!W215:W245,"*S*")</f>
        <v>0</v>
      </c>
      <c r="Z10" s="91">
        <f t="shared" si="2"/>
        <v>0</v>
      </c>
      <c r="AA10" s="91">
        <f>COUNTIF('Január-December'!AB215:AB245,"*SSP*")</f>
        <v>0</v>
      </c>
      <c r="AB10" s="91">
        <f>COUNTIF('Január-December'!AB215:AB245,"*NSP*")</f>
        <v>0</v>
      </c>
      <c r="AC10" s="91">
        <f>COUNTIF('Január-December'!AB215:AB245,"*poprašok*")</f>
        <v>0</v>
      </c>
    </row>
    <row r="11" spans="1:30" s="91" customFormat="1" ht="15" customHeight="1" x14ac:dyDescent="0.3">
      <c r="A11" s="86" t="s">
        <v>31</v>
      </c>
      <c r="B11" s="91">
        <f>COUNTIF('Január-December'!E246:E275,"&lt;=-10")</f>
        <v>0</v>
      </c>
      <c r="C11" s="91">
        <f>COUNTIF('Január-December'!E246:E275,"&lt;=-0.1")</f>
        <v>0</v>
      </c>
      <c r="D11" s="91">
        <f>COUNTIF('Január-December'!F246:F275,"&lt;=0")</f>
        <v>0</v>
      </c>
      <c r="E11" s="91">
        <f>COUNTIF('Január-December'!E246:E275,"&gt;="&amp;25)</f>
        <v>3</v>
      </c>
      <c r="F11" s="91">
        <f>COUNTIF('Január-December'!E246:E275,"&gt;=30")</f>
        <v>0</v>
      </c>
      <c r="G11" s="91">
        <f>COUNTIF('Január-December'!AB246:AB275,"*tropická noc*")</f>
        <v>0</v>
      </c>
      <c r="H11" s="91">
        <f>COUNTIF(búrky!E158:E163,"*w*")</f>
        <v>1</v>
      </c>
      <c r="I11" s="91">
        <f>COUNTIF(búrky!E158:E163,"*P*")</f>
        <v>1</v>
      </c>
      <c r="J11" s="100">
        <f>COUNTIF(búrky!E158:E163,"*L*")</f>
        <v>0</v>
      </c>
      <c r="K11" s="96">
        <f>COUNTIF(búrky!E158:E163,"*V*")</f>
        <v>0</v>
      </c>
      <c r="L11" s="98">
        <f t="shared" si="1"/>
        <v>1</v>
      </c>
      <c r="M11" s="91">
        <f>COUNTIF('Január-December'!AB246:AB275,"*zákal*")</f>
        <v>0</v>
      </c>
      <c r="N11" s="91">
        <f>COUNTIF('Január-December'!AB246:AB275,"*dymno*")</f>
        <v>1</v>
      </c>
      <c r="O11" s="91">
        <f>COUNTIF('Január-December'!AB246:AB275,"*hmla*")</f>
        <v>11</v>
      </c>
      <c r="P11" s="91">
        <f>COUNTIF('Január-December'!AB246:AB275,"*slnečný deň*")</f>
        <v>5</v>
      </c>
      <c r="Q11" s="316">
        <f>COUNTIF('Január-December'!AB246:AB275,"*0/8*")</f>
        <v>1</v>
      </c>
      <c r="R11" s="316">
        <f>COUNTIF('Január-December'!AB246:AB275,"*8/8*")</f>
        <v>3</v>
      </c>
      <c r="S11" s="91">
        <f t="shared" si="0"/>
        <v>16</v>
      </c>
      <c r="T11" s="316">
        <f>COUNTIF('Január-December'!W246:W275,"*N*")</f>
        <v>4</v>
      </c>
      <c r="U11" s="316">
        <f>COUNTIF('Január-December'!W246:W275,"*Z*")</f>
        <v>12</v>
      </c>
      <c r="V11" s="316">
        <f>COUNTIF('Január-December'!W246:W275,"*U*")</f>
        <v>3</v>
      </c>
      <c r="W11" s="91">
        <f>COUNTIF('Január-December'!W246:W275,"*D*")</f>
        <v>15</v>
      </c>
      <c r="X11" s="91">
        <f>COUNTIF('Január-December'!W246:W275,"*K*")</f>
        <v>0</v>
      </c>
      <c r="Y11" s="91">
        <f>COUNTIF('Január-December'!W246:W275,"*S*")</f>
        <v>0</v>
      </c>
      <c r="Z11" s="91">
        <f t="shared" si="2"/>
        <v>0</v>
      </c>
      <c r="AA11" s="91">
        <f>COUNTIF('Január-December'!AB246:AB275,"*SSP*")</f>
        <v>0</v>
      </c>
      <c r="AB11" s="91">
        <f>COUNTIF('Január-December'!AB246:AB275,"*NSP*")</f>
        <v>0</v>
      </c>
      <c r="AC11" s="91">
        <f>COUNTIF('Január-December'!AB246:AB275,"*poprašok*")</f>
        <v>0</v>
      </c>
    </row>
    <row r="12" spans="1:30" s="91" customFormat="1" ht="15" customHeight="1" x14ac:dyDescent="0.3">
      <c r="A12" s="86" t="s">
        <v>32</v>
      </c>
      <c r="B12" s="91">
        <f>COUNTIF('Január-December'!E276:E306,"&lt;=-10")</f>
        <v>0</v>
      </c>
      <c r="C12" s="91">
        <f>COUNTIF('Január-December'!E276:E306,"&lt;=-0.1")</f>
        <v>0</v>
      </c>
      <c r="D12" s="91">
        <f>COUNTIF('Január-December'!F276:F306,"&lt;=0")</f>
        <v>6</v>
      </c>
      <c r="E12" s="91">
        <f>COUNTIF('Január-December'!E276:E306,"&gt;="&amp;25)</f>
        <v>0</v>
      </c>
      <c r="F12" s="91">
        <f>COUNTIF('Január-December'!E276:E306,"&gt;=30")</f>
        <v>0</v>
      </c>
      <c r="G12" s="91">
        <f>COUNTIF('Január-December'!AB276:AB306,"*tropická noc*")</f>
        <v>0</v>
      </c>
      <c r="H12" s="91">
        <f>COUNTIF(búrky!E176:E177,"*w*")</f>
        <v>0</v>
      </c>
      <c r="I12" s="91">
        <f>COUNTIF(búrky!E176:E177,"*P*")</f>
        <v>0</v>
      </c>
      <c r="J12" s="100">
        <f>COUNTIF(búrky!E176:E177,"*L*")</f>
        <v>0</v>
      </c>
      <c r="K12" s="96">
        <f>COUNTIF(búrky!E176:E177,"*V*")</f>
        <v>0</v>
      </c>
      <c r="L12" s="98">
        <f t="shared" si="1"/>
        <v>0</v>
      </c>
      <c r="M12" s="91">
        <f>COUNTIF('Január-December'!AB276:AB306,"*zákal*")</f>
        <v>8</v>
      </c>
      <c r="N12" s="91">
        <f>COUNTIF('Január-December'!AB276:AB306,"*dymno*")</f>
        <v>1</v>
      </c>
      <c r="O12" s="91">
        <f>COUNTIF('Január-December'!AB276:AB306,"*hmla*")</f>
        <v>16</v>
      </c>
      <c r="P12" s="91">
        <f>COUNTIF('Január-December'!AB276:AB306,"*slnečný deň*")</f>
        <v>10</v>
      </c>
      <c r="Q12" s="316">
        <f>COUNTIF('Január-December'!AB276:AB306,"*0/8*")</f>
        <v>0</v>
      </c>
      <c r="R12" s="316">
        <f>COUNTIF('Január-December'!AB276:AB306,"*8/8*")</f>
        <v>3</v>
      </c>
      <c r="S12" s="91">
        <f t="shared" si="0"/>
        <v>16</v>
      </c>
      <c r="T12" s="316">
        <f>COUNTIF('Január-December'!W276:W306,"*N*")</f>
        <v>0</v>
      </c>
      <c r="U12" s="316">
        <f>COUNTIF('Január-December'!W276:W306,"*Z*")</f>
        <v>16</v>
      </c>
      <c r="V12" s="316">
        <f>COUNTIF('Január-December'!W276:W306,"*U*")</f>
        <v>8</v>
      </c>
      <c r="W12" s="91">
        <f>COUNTIF('Január-December'!W276:W306,"*D*")</f>
        <v>8</v>
      </c>
      <c r="X12" s="91">
        <f>COUNTIF('Január-December'!W276:W306,"*K*")</f>
        <v>0</v>
      </c>
      <c r="Y12" s="91">
        <f>COUNTIF('Január-December'!W276:W306,"*S*")</f>
        <v>0</v>
      </c>
      <c r="Z12" s="91">
        <f t="shared" si="2"/>
        <v>0</v>
      </c>
      <c r="AA12" s="91">
        <f>COUNTIF('Január-December'!AB276:AB306,"*SSP*")</f>
        <v>0</v>
      </c>
      <c r="AB12" s="91">
        <f>COUNTIF('Január-December'!AB276:AB306,"*NSP*")</f>
        <v>0</v>
      </c>
      <c r="AC12" s="91">
        <f>COUNTIF('Január-December'!AB276:AB306,"*poprašok*")</f>
        <v>0</v>
      </c>
    </row>
    <row r="13" spans="1:30" s="91" customFormat="1" x14ac:dyDescent="0.3">
      <c r="A13" s="86" t="s">
        <v>33</v>
      </c>
      <c r="B13" s="91">
        <f>COUNTIF('Január-December'!E307:E336,"&lt;=-10")</f>
        <v>0</v>
      </c>
      <c r="C13" s="91">
        <f>COUNTIF('Január-December'!E307:E336,"&lt;=-0.1")</f>
        <v>0</v>
      </c>
      <c r="D13" s="91">
        <f>COUNTIF('Január-December'!F307:F336,"&lt;=0")</f>
        <v>7</v>
      </c>
      <c r="E13" s="91">
        <f>COUNTIF('Január-December'!E307:E336,"&gt;="&amp;25)</f>
        <v>0</v>
      </c>
      <c r="F13" s="91">
        <f>COUNTIF('Január-December'!E307:E336,"&gt;=30")</f>
        <v>0</v>
      </c>
      <c r="G13" s="91">
        <f>COUNTIF('Január-December'!AB307:AB336,"*tropická noc*")</f>
        <v>0</v>
      </c>
      <c r="H13" s="91">
        <f>COUNTIF(búrky!E190:E192,"*w*")</f>
        <v>0</v>
      </c>
      <c r="I13" s="91">
        <f>COUNTIF(búrky!E190:E192,"*P*")</f>
        <v>0</v>
      </c>
      <c r="J13" s="100">
        <f>COUNTIF(búrky!E190:E192,"*L*")</f>
        <v>0</v>
      </c>
      <c r="K13" s="96">
        <f>COUNTIF(búrky!E190:E192,"*V*")</f>
        <v>0</v>
      </c>
      <c r="L13" s="98">
        <f t="shared" si="1"/>
        <v>0</v>
      </c>
      <c r="M13" s="91">
        <f>COUNTIF('Január-December'!AB307:AB336,"*zákal*")</f>
        <v>0</v>
      </c>
      <c r="N13" s="91">
        <f>COUNTIF('Január-December'!AB307:AB336,"*dymno*")</f>
        <v>0</v>
      </c>
      <c r="O13" s="91">
        <f>COUNTIF('Január-December'!AB307:AB336,"*hmla*")</f>
        <v>12</v>
      </c>
      <c r="P13" s="91">
        <f>COUNTIF('Január-December'!AB307:AB336,"*slnečný deň*")</f>
        <v>0</v>
      </c>
      <c r="Q13" s="316">
        <f>COUNTIF('Január-December'!AB307:AB336,"*0/8*")</f>
        <v>0</v>
      </c>
      <c r="R13" s="316">
        <f>COUNTIF('Január-December'!AB307:AB336,"*8/8*")</f>
        <v>15</v>
      </c>
      <c r="S13" s="91">
        <f t="shared" si="0"/>
        <v>22</v>
      </c>
      <c r="T13" s="316">
        <f>COUNTIF('Január-December'!W307:W336,"*N*")</f>
        <v>4</v>
      </c>
      <c r="U13" s="316">
        <f>COUNTIF('Január-December'!W307:W336,"*Z*")</f>
        <v>18</v>
      </c>
      <c r="V13" s="316">
        <f>COUNTIF('Január-December'!W307:W336,"*U*")</f>
        <v>5</v>
      </c>
      <c r="W13" s="91">
        <f>COUNTIF('Január-December'!W307:W336,"*D*")</f>
        <v>19</v>
      </c>
      <c r="X13" s="91">
        <f>COUNTIF('Január-December'!W307:W336,"*K*")</f>
        <v>0</v>
      </c>
      <c r="Y13" s="91">
        <f>COUNTIF('Január-December'!W307:W336,"*S*")</f>
        <v>1</v>
      </c>
      <c r="Z13" s="91">
        <f t="shared" si="2"/>
        <v>0</v>
      </c>
      <c r="AA13" s="91">
        <f>COUNTIF('Január-December'!AB307:AB336,"*SSP*")</f>
        <v>0</v>
      </c>
      <c r="AB13" s="91">
        <f>COUNTIF('Január-December'!AB307:AB336,"*NSP*")</f>
        <v>0</v>
      </c>
      <c r="AC13" s="91">
        <f>COUNTIF('Január-December'!AB307:AB336,"*poprašok*")</f>
        <v>0</v>
      </c>
    </row>
    <row r="14" spans="1:30" s="93" customFormat="1" ht="15" thickBot="1" x14ac:dyDescent="0.35">
      <c r="A14" s="92" t="s">
        <v>34</v>
      </c>
      <c r="B14" s="93">
        <f>COUNTIF('Január-December'!E337:E367,"&lt;=-10")</f>
        <v>0</v>
      </c>
      <c r="C14" s="93">
        <f>COUNTIF('Január-December'!E337:E367,"&lt;=-0.1")</f>
        <v>6</v>
      </c>
      <c r="D14" s="93">
        <f>COUNTIF('Január-December'!F337:F367,"&lt;=0")</f>
        <v>17</v>
      </c>
      <c r="E14" s="93">
        <f>COUNTIF('Január-December'!E337:E367,"&gt;="&amp;25)</f>
        <v>0</v>
      </c>
      <c r="F14" s="93">
        <f>COUNTIF('Január-December'!E337:E367,"&gt;=30")</f>
        <v>0</v>
      </c>
      <c r="G14" s="93">
        <f>COUNTIF('Január-December'!AB337:AB367,"*tropická noc*")</f>
        <v>0</v>
      </c>
      <c r="H14" s="93">
        <f>COUNTIF(búrky!E205:E207,"*w*")</f>
        <v>0</v>
      </c>
      <c r="I14" s="93">
        <f>COUNTIF(búrky!E205:E207,"*P*")</f>
        <v>0</v>
      </c>
      <c r="J14" s="298">
        <f>COUNTIF(búrky!E205:E207,"*L*")</f>
        <v>0</v>
      </c>
      <c r="K14" s="296">
        <f>COUNTIF(búrky!E205:E207,"*V*")</f>
        <v>0</v>
      </c>
      <c r="L14" s="98">
        <f t="shared" si="1"/>
        <v>0</v>
      </c>
      <c r="M14" s="93">
        <f>COUNTIF('Január-December'!AB337:AB367,"*zákal*")</f>
        <v>0</v>
      </c>
      <c r="N14" s="93">
        <f>COUNTIF('Január-December'!AB337:AB367,"*dymno*")</f>
        <v>3</v>
      </c>
      <c r="O14" s="93">
        <f>COUNTIF('Január-December'!AB337:AB367,"*hmla*")</f>
        <v>5</v>
      </c>
      <c r="P14" s="93">
        <f>COUNTIF('Január-December'!AB337:AB367,"*slnečný deň*")</f>
        <v>0</v>
      </c>
      <c r="Q14" s="317">
        <f>COUNTIF('Január-December'!AB337:AB367,"*0/8*")</f>
        <v>0</v>
      </c>
      <c r="R14" s="317">
        <f>COUNTIF('Január-December'!AB337:AB367,"*8/8*")</f>
        <v>13</v>
      </c>
      <c r="S14" s="93">
        <f t="shared" si="0"/>
        <v>22</v>
      </c>
      <c r="T14" s="317">
        <f>COUNTIF('Január-December'!W337:W367,"*N*")</f>
        <v>6</v>
      </c>
      <c r="U14" s="317">
        <f>COUNTIF('Január-December'!W337:W367,"*Z*")</f>
        <v>16</v>
      </c>
      <c r="V14" s="317">
        <f>COUNTIF('Január-December'!W337:W367,"*U*")</f>
        <v>1</v>
      </c>
      <c r="W14" s="93">
        <f>COUNTIF('Január-December'!W337:W367,"*D*")</f>
        <v>13</v>
      </c>
      <c r="X14" s="93">
        <f>COUNTIF('Január-December'!W337:W367,"*K*")</f>
        <v>0</v>
      </c>
      <c r="Y14" s="93">
        <f>COUNTIF('Január-December'!W337:W367,"*S*")</f>
        <v>10</v>
      </c>
      <c r="Z14" s="91">
        <f t="shared" si="2"/>
        <v>11</v>
      </c>
      <c r="AA14" s="93">
        <f>COUNTIF('Január-December'!AB337:AB367,"*SSP*")</f>
        <v>5</v>
      </c>
      <c r="AB14" s="93">
        <f>COUNTIF('Január-December'!AB337:AB367,"*NSP*")</f>
        <v>4</v>
      </c>
      <c r="AC14" s="93">
        <f>COUNTIF('Január-December'!AB337:AB367,"*poprašok*")</f>
        <v>2</v>
      </c>
    </row>
    <row r="15" spans="1:30" s="95" customFormat="1" ht="16.2" thickBot="1" x14ac:dyDescent="0.35">
      <c r="A15" s="94">
        <v>2019</v>
      </c>
      <c r="B15" s="299">
        <f t="shared" ref="B15:AC15" si="3">SUM(B3:B14)</f>
        <v>0</v>
      </c>
      <c r="C15" s="95">
        <f t="shared" si="3"/>
        <v>22</v>
      </c>
      <c r="D15" s="95">
        <f t="shared" si="3"/>
        <v>103</v>
      </c>
      <c r="E15" s="95">
        <f t="shared" si="3"/>
        <v>72</v>
      </c>
      <c r="F15" s="95">
        <f t="shared" si="3"/>
        <v>22</v>
      </c>
      <c r="G15" s="95">
        <f t="shared" si="3"/>
        <v>0</v>
      </c>
      <c r="H15" s="95">
        <f t="shared" si="3"/>
        <v>34</v>
      </c>
      <c r="I15" s="95">
        <f t="shared" si="3"/>
        <v>25</v>
      </c>
      <c r="J15" s="101">
        <f t="shared" si="3"/>
        <v>3</v>
      </c>
      <c r="K15" s="97">
        <f t="shared" si="3"/>
        <v>17</v>
      </c>
      <c r="L15" s="99">
        <f t="shared" si="3"/>
        <v>45</v>
      </c>
      <c r="M15" s="99">
        <f>SUM(M3:M14)</f>
        <v>13</v>
      </c>
      <c r="N15" s="99">
        <f>SUM(N3:N14)</f>
        <v>23</v>
      </c>
      <c r="O15" s="95">
        <f t="shared" si="3"/>
        <v>89</v>
      </c>
      <c r="P15" s="99">
        <f>SUM(P3:P14)</f>
        <v>33</v>
      </c>
      <c r="Q15" s="318">
        <f t="shared" si="3"/>
        <v>5</v>
      </c>
      <c r="R15" s="318">
        <f t="shared" si="3"/>
        <v>78</v>
      </c>
      <c r="S15" s="95">
        <f t="shared" si="3"/>
        <v>202</v>
      </c>
      <c r="T15" s="318">
        <f t="shared" si="3"/>
        <v>46</v>
      </c>
      <c r="U15" s="318">
        <f t="shared" si="3"/>
        <v>156</v>
      </c>
      <c r="V15" s="318">
        <f t="shared" si="3"/>
        <v>20</v>
      </c>
      <c r="W15" s="95">
        <f t="shared" si="3"/>
        <v>158</v>
      </c>
      <c r="X15" s="95">
        <f t="shared" si="3"/>
        <v>6</v>
      </c>
      <c r="Y15" s="95">
        <f t="shared" si="3"/>
        <v>42</v>
      </c>
      <c r="Z15" s="95">
        <f t="shared" si="3"/>
        <v>58</v>
      </c>
      <c r="AA15" s="95">
        <f t="shared" si="3"/>
        <v>38</v>
      </c>
      <c r="AB15" s="101">
        <f t="shared" si="3"/>
        <v>17</v>
      </c>
      <c r="AC15" s="302">
        <f t="shared" si="3"/>
        <v>3</v>
      </c>
      <c r="AD15" s="297"/>
    </row>
  </sheetData>
  <mergeCells count="6">
    <mergeCell ref="M1:R1"/>
    <mergeCell ref="S1:Y1"/>
    <mergeCell ref="Z1:AC1"/>
    <mergeCell ref="A1:A2"/>
    <mergeCell ref="B1:G1"/>
    <mergeCell ref="H1:L1"/>
  </mergeCells>
  <conditionalFormatting sqref="B3:L14 N3:AA14">
    <cfRule type="cellIs" dxfId="3" priority="7" operator="greaterThan">
      <formula>0</formula>
    </cfRule>
    <cfRule type="cellIs" dxfId="2" priority="8" operator="equal">
      <formula>0</formula>
    </cfRule>
  </conditionalFormatting>
  <conditionalFormatting sqref="AC3:AC14">
    <cfRule type="cellIs" dxfId="9" priority="5" operator="greaterThan">
      <formula>0</formula>
    </cfRule>
    <cfRule type="cellIs" dxfId="8" priority="6" operator="equal">
      <formula>0</formula>
    </cfRule>
  </conditionalFormatting>
  <conditionalFormatting sqref="AB3:AB14">
    <cfRule type="cellIs" dxfId="7" priority="3" operator="greaterThan">
      <formula>0</formula>
    </cfRule>
    <cfRule type="cellIs" dxfId="6" priority="4" operator="equal">
      <formula>0</formula>
    </cfRule>
  </conditionalFormatting>
  <conditionalFormatting sqref="M3:M14">
    <cfRule type="cellIs" dxfId="5" priority="1" operator="greaterThan">
      <formula>0</formula>
    </cfRule>
    <cfRule type="cellIs" dxfId="4" priority="2" operator="equal">
      <formula>0</formula>
    </cfRule>
  </conditionalFormatting>
  <pageMargins left="0.7" right="0.7" top="0.75" bottom="0.75" header="0.3" footer="0.3"/>
  <ignoredErrors>
    <ignoredError sqref="B14:C14 B3:C3 D3:G3 B4:C4 D4:G4 B5:C5 D5:G5 B6:C6 D6:G6 B7:C7 D7:G7 B8:C8 D8:G8 B9:C9 D9:G9 B10:C10 D10:G10 B11:C11 D11:G11 B12:C12 D12:G12 B13:C13 D13:G13 D14:G14" formulaRange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Január-December</vt:lpstr>
      <vt:lpstr>búrky</vt:lpstr>
      <vt:lpstr>2019</vt:lpstr>
      <vt:lpstr>2019 dni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Fedor</dc:creator>
  <cp:lastModifiedBy>Tomáš Fedor</cp:lastModifiedBy>
  <dcterms:created xsi:type="dcterms:W3CDTF">2015-02-14T11:41:41Z</dcterms:created>
  <dcterms:modified xsi:type="dcterms:W3CDTF">2020-01-09T18:30:00Z</dcterms:modified>
</cp:coreProperties>
</file>