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D:\wx data\meteo data\"/>
    </mc:Choice>
  </mc:AlternateContent>
  <xr:revisionPtr revIDLastSave="0" documentId="13_ncr:1_{6395C5A3-ABBC-4CFD-863B-465C79E35FE4}" xr6:coauthVersionLast="47" xr6:coauthVersionMax="47" xr10:uidLastSave="{00000000-0000-0000-0000-000000000000}"/>
  <bookViews>
    <workbookView xWindow="-108" yWindow="-108" windowWidth="23256" windowHeight="12576" tabRatio="772" xr2:uid="{00000000-000D-0000-FFFF-FFFF00000000}"/>
  </bookViews>
  <sheets>
    <sheet name="Január-December" sheetId="2" r:id="rId1"/>
    <sheet name="búrky" sheetId="17" r:id="rId2"/>
    <sheet name="2021" sheetId="1" r:id="rId3"/>
    <sheet name="2021 dni" sheetId="20" r:id="rId4"/>
  </sheets>
  <definedNames>
    <definedName name="_xlnm._FilterDatabase" localSheetId="2" hidden="1">'2021'!$A$3:$A$15</definedName>
    <definedName name="Indoor_Temperature_°C">#REF!</definedName>
    <definedName name="Tim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7" i="2" l="1"/>
  <c r="G367" i="2"/>
  <c r="H366" i="2"/>
  <c r="G366" i="2"/>
  <c r="H365" i="2"/>
  <c r="G365" i="2"/>
  <c r="H364" i="2"/>
  <c r="G364" i="2"/>
  <c r="H363" i="2"/>
  <c r="G363" i="2"/>
  <c r="H362" i="2"/>
  <c r="G362" i="2"/>
  <c r="H361" i="2"/>
  <c r="G361" i="2"/>
  <c r="H360" i="2"/>
  <c r="G360" i="2"/>
  <c r="H359" i="2"/>
  <c r="G359" i="2"/>
  <c r="H358" i="2"/>
  <c r="G358" i="2"/>
  <c r="H357" i="2"/>
  <c r="G357" i="2"/>
  <c r="H356" i="2"/>
  <c r="G356" i="2"/>
  <c r="H355" i="2"/>
  <c r="G355" i="2"/>
  <c r="H354" i="2"/>
  <c r="G354" i="2"/>
  <c r="H353" i="2"/>
  <c r="G353" i="2"/>
  <c r="H352" i="2"/>
  <c r="G352" i="2"/>
  <c r="H351" i="2"/>
  <c r="G351" i="2"/>
  <c r="H350" i="2"/>
  <c r="G350" i="2"/>
  <c r="H349" i="2"/>
  <c r="G349" i="2"/>
  <c r="H348" i="2"/>
  <c r="G348" i="2"/>
  <c r="H347" i="2"/>
  <c r="G347" i="2"/>
  <c r="H346" i="2"/>
  <c r="G346" i="2"/>
  <c r="H345" i="2"/>
  <c r="G345" i="2"/>
  <c r="H344" i="2"/>
  <c r="G344" i="2"/>
  <c r="H343" i="2"/>
  <c r="G343" i="2"/>
  <c r="H342" i="2"/>
  <c r="G342" i="2"/>
  <c r="H341" i="2"/>
  <c r="G341" i="2"/>
  <c r="H340" i="2"/>
  <c r="G340" i="2"/>
  <c r="H339" i="2"/>
  <c r="G339" i="2"/>
  <c r="H338" i="2"/>
  <c r="G338" i="2"/>
  <c r="H337" i="2"/>
  <c r="G337" i="2"/>
  <c r="I13" i="1" l="1"/>
  <c r="H336" i="2"/>
  <c r="H13" i="1" s="1"/>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07" i="2"/>
  <c r="I14" i="1"/>
  <c r="I12" i="1"/>
  <c r="N14" i="1" l="1"/>
  <c r="N13" i="1"/>
  <c r="N12" i="1"/>
  <c r="N11" i="1"/>
  <c r="N10" i="1"/>
  <c r="N9" i="1"/>
  <c r="N8" i="1"/>
  <c r="N7" i="1"/>
  <c r="N6" i="1"/>
  <c r="N5" i="1"/>
  <c r="N4" i="1"/>
  <c r="N3" i="1"/>
  <c r="G308"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7" i="2"/>
  <c r="H306" i="2" l="1"/>
  <c r="G306" i="2"/>
  <c r="H305" i="2"/>
  <c r="G305" i="2"/>
  <c r="H304" i="2"/>
  <c r="G304" i="2"/>
  <c r="H303" i="2"/>
  <c r="G303" i="2"/>
  <c r="H302" i="2"/>
  <c r="G302" i="2"/>
  <c r="H301" i="2"/>
  <c r="G301" i="2"/>
  <c r="H300" i="2"/>
  <c r="G300" i="2"/>
  <c r="H299" i="2"/>
  <c r="G299" i="2"/>
  <c r="H298" i="2"/>
  <c r="G298" i="2"/>
  <c r="H297" i="2"/>
  <c r="G297" i="2"/>
  <c r="H296" i="2"/>
  <c r="G296" i="2"/>
  <c r="H295" i="2"/>
  <c r="G295" i="2"/>
  <c r="H294" i="2"/>
  <c r="G294" i="2"/>
  <c r="H293" i="2"/>
  <c r="G293" i="2"/>
  <c r="H292" i="2"/>
  <c r="G292" i="2"/>
  <c r="H291" i="2"/>
  <c r="G291" i="2"/>
  <c r="H290" i="2"/>
  <c r="G290" i="2"/>
  <c r="H289" i="2"/>
  <c r="G289" i="2"/>
  <c r="H288" i="2"/>
  <c r="G288" i="2"/>
  <c r="H287" i="2"/>
  <c r="G287" i="2"/>
  <c r="H286" i="2"/>
  <c r="G286" i="2"/>
  <c r="H285" i="2"/>
  <c r="G285" i="2"/>
  <c r="H284" i="2"/>
  <c r="G284" i="2"/>
  <c r="H283" i="2"/>
  <c r="G283" i="2"/>
  <c r="H282" i="2"/>
  <c r="G282" i="2"/>
  <c r="H281" i="2"/>
  <c r="G281" i="2"/>
  <c r="H280" i="2"/>
  <c r="G280" i="2"/>
  <c r="H279" i="2"/>
  <c r="G279" i="2"/>
  <c r="H278" i="2"/>
  <c r="G278" i="2"/>
  <c r="H277" i="2"/>
  <c r="G277" i="2"/>
  <c r="H276" i="2"/>
  <c r="G276" i="2"/>
  <c r="H275" i="2"/>
  <c r="G275" i="2"/>
  <c r="H274" i="2"/>
  <c r="G274" i="2"/>
  <c r="H273" i="2"/>
  <c r="G273" i="2"/>
  <c r="H272" i="2"/>
  <c r="G272" i="2"/>
  <c r="H271" i="2"/>
  <c r="G271" i="2"/>
  <c r="H270" i="2"/>
  <c r="G270" i="2"/>
  <c r="H269" i="2"/>
  <c r="G269" i="2"/>
  <c r="H268" i="2"/>
  <c r="G268" i="2"/>
  <c r="H267" i="2"/>
  <c r="G267" i="2"/>
  <c r="H266" i="2"/>
  <c r="G266" i="2"/>
  <c r="H265" i="2"/>
  <c r="G265" i="2"/>
  <c r="H264" i="2"/>
  <c r="G264" i="2"/>
  <c r="H263" i="2"/>
  <c r="G263" i="2"/>
  <c r="H262" i="2"/>
  <c r="G262" i="2"/>
  <c r="H261" i="2"/>
  <c r="G261" i="2"/>
  <c r="H260" i="2"/>
  <c r="G260" i="2"/>
  <c r="H259" i="2"/>
  <c r="G259" i="2"/>
  <c r="H258" i="2"/>
  <c r="G258" i="2"/>
  <c r="H257" i="2"/>
  <c r="G257" i="2"/>
  <c r="H256" i="2"/>
  <c r="G256" i="2"/>
  <c r="H255" i="2"/>
  <c r="G255" i="2"/>
  <c r="H254" i="2"/>
  <c r="G254" i="2"/>
  <c r="H253" i="2"/>
  <c r="G253" i="2"/>
  <c r="H252" i="2"/>
  <c r="G252" i="2"/>
  <c r="H251" i="2"/>
  <c r="G251" i="2"/>
  <c r="H250" i="2"/>
  <c r="G250" i="2"/>
  <c r="H249" i="2"/>
  <c r="G249" i="2"/>
  <c r="H248" i="2"/>
  <c r="G248" i="2"/>
  <c r="H247" i="2"/>
  <c r="G247" i="2"/>
  <c r="G246" i="2"/>
  <c r="H246" i="2"/>
  <c r="G245" i="2"/>
  <c r="H245" i="2" l="1"/>
  <c r="G217" i="2"/>
  <c r="H217" i="2"/>
  <c r="G218" i="2"/>
  <c r="H218" i="2"/>
  <c r="G219" i="2"/>
  <c r="H219" i="2"/>
  <c r="G220" i="2"/>
  <c r="H220" i="2"/>
  <c r="G221" i="2"/>
  <c r="H221" i="2"/>
  <c r="G222" i="2"/>
  <c r="H222" i="2"/>
  <c r="G223" i="2"/>
  <c r="H223" i="2"/>
  <c r="G224" i="2"/>
  <c r="H224" i="2"/>
  <c r="G225" i="2"/>
  <c r="H225" i="2"/>
  <c r="G226" i="2"/>
  <c r="H226" i="2"/>
  <c r="G227" i="2"/>
  <c r="H227" i="2"/>
  <c r="G228" i="2"/>
  <c r="H228" i="2"/>
  <c r="G229" i="2"/>
  <c r="H229" i="2"/>
  <c r="G230" i="2"/>
  <c r="H230" i="2"/>
  <c r="G231" i="2"/>
  <c r="H231" i="2"/>
  <c r="G232" i="2"/>
  <c r="H232" i="2"/>
  <c r="G233" i="2"/>
  <c r="H233" i="2"/>
  <c r="G234" i="2"/>
  <c r="H234" i="2"/>
  <c r="G235" i="2"/>
  <c r="H235" i="2"/>
  <c r="G236" i="2"/>
  <c r="H236" i="2"/>
  <c r="G237" i="2"/>
  <c r="H237" i="2"/>
  <c r="G238" i="2"/>
  <c r="H238" i="2"/>
  <c r="G239" i="2"/>
  <c r="H239" i="2"/>
  <c r="G240" i="2"/>
  <c r="H240" i="2"/>
  <c r="G241" i="2"/>
  <c r="H241" i="2"/>
  <c r="G242" i="2"/>
  <c r="H242" i="2"/>
  <c r="G243" i="2"/>
  <c r="H243" i="2"/>
  <c r="G244" i="2"/>
  <c r="H244" i="2"/>
  <c r="H216" i="2"/>
  <c r="G216" i="2"/>
  <c r="H215" i="2"/>
  <c r="H214" i="2"/>
  <c r="G215" i="2"/>
  <c r="G214" i="2"/>
  <c r="T15" i="1" l="1"/>
  <c r="U9" i="1"/>
  <c r="U10" i="1"/>
  <c r="H186" i="2" l="1"/>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185" i="2"/>
  <c r="H184" i="2"/>
  <c r="H182"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185" i="2"/>
  <c r="G184" i="2"/>
  <c r="G183" i="2"/>
  <c r="H183"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55" i="2"/>
  <c r="H154" i="2"/>
  <c r="H153" i="2"/>
  <c r="G182"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55" i="2"/>
  <c r="G154" i="2"/>
  <c r="G153"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H124" i="2"/>
  <c r="G124" i="2"/>
  <c r="H123" i="2"/>
  <c r="G123" i="2"/>
  <c r="Y7" i="20" l="1"/>
  <c r="Y6" i="20"/>
  <c r="H122" i="2" l="1"/>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94" i="2"/>
  <c r="H93" i="2"/>
  <c r="H92" i="2"/>
  <c r="G122" i="2"/>
  <c r="G121"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94" i="2"/>
  <c r="G93" i="2"/>
  <c r="G92"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63" i="2"/>
  <c r="H62" i="2"/>
  <c r="H61"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63" i="2"/>
  <c r="G62" i="2"/>
  <c r="G61" i="2"/>
  <c r="H60" i="2" l="1"/>
  <c r="H36" i="2"/>
  <c r="H37" i="2"/>
  <c r="H38" i="2"/>
  <c r="H39" i="2"/>
  <c r="H40" i="2"/>
  <c r="H41" i="2"/>
  <c r="H42" i="2"/>
  <c r="H43" i="2"/>
  <c r="H44" i="2"/>
  <c r="H45" i="2"/>
  <c r="H46" i="2"/>
  <c r="H47" i="2"/>
  <c r="H48" i="2"/>
  <c r="H49" i="2"/>
  <c r="H50" i="2"/>
  <c r="H51" i="2"/>
  <c r="H52" i="2"/>
  <c r="H53" i="2"/>
  <c r="H54" i="2"/>
  <c r="H55" i="2"/>
  <c r="H56" i="2"/>
  <c r="H57" i="2"/>
  <c r="H58" i="2"/>
  <c r="H59" i="2"/>
  <c r="H35" i="2"/>
  <c r="H34" i="2"/>
  <c r="H32" i="2"/>
  <c r="G60" i="2"/>
  <c r="G36" i="2"/>
  <c r="G37" i="2"/>
  <c r="G38" i="2"/>
  <c r="G39" i="2"/>
  <c r="G40" i="2"/>
  <c r="G41" i="2"/>
  <c r="G42" i="2"/>
  <c r="G43" i="2"/>
  <c r="G44" i="2"/>
  <c r="G45" i="2"/>
  <c r="G46" i="2"/>
  <c r="G47" i="2"/>
  <c r="G48" i="2"/>
  <c r="G49" i="2"/>
  <c r="G50" i="2"/>
  <c r="G51" i="2"/>
  <c r="G52" i="2"/>
  <c r="G53" i="2"/>
  <c r="G54" i="2"/>
  <c r="G55" i="2"/>
  <c r="G56" i="2"/>
  <c r="G57" i="2"/>
  <c r="G58" i="2"/>
  <c r="G59" i="2"/>
  <c r="G35" i="2"/>
  <c r="G34" i="2"/>
  <c r="G33" i="2"/>
  <c r="H3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 i="2"/>
  <c r="G28" i="2"/>
  <c r="G4" i="2"/>
  <c r="G5" i="2"/>
  <c r="G6" i="2"/>
  <c r="G7" i="2"/>
  <c r="G8" i="2"/>
  <c r="G9" i="2"/>
  <c r="G10" i="2"/>
  <c r="G11" i="2"/>
  <c r="G12" i="2"/>
  <c r="G13" i="2"/>
  <c r="G14" i="2"/>
  <c r="G15" i="2"/>
  <c r="G16" i="2"/>
  <c r="G17" i="2"/>
  <c r="G18" i="2"/>
  <c r="G19" i="2"/>
  <c r="G20" i="2"/>
  <c r="G21" i="2"/>
  <c r="G22" i="2"/>
  <c r="G23" i="2"/>
  <c r="G24" i="2"/>
  <c r="G25" i="2"/>
  <c r="G26" i="2"/>
  <c r="G27" i="2"/>
  <c r="G29" i="2"/>
  <c r="G30" i="2"/>
  <c r="G31" i="2"/>
  <c r="G32" i="2"/>
  <c r="G3" i="2"/>
  <c r="Y14" i="20" l="1"/>
  <c r="Y13" i="20"/>
  <c r="Y12" i="20"/>
  <c r="Y11" i="20"/>
  <c r="Y10" i="20"/>
  <c r="Y9" i="20"/>
  <c r="Y8" i="20"/>
  <c r="Y5" i="20"/>
  <c r="Y4" i="20"/>
  <c r="Y3" i="20"/>
  <c r="Y15" i="20" l="1"/>
  <c r="N9" i="20" l="1"/>
  <c r="Z3" i="1" l="1"/>
  <c r="Z15" i="1" s="1"/>
  <c r="M14" i="20" l="1"/>
  <c r="M13" i="20"/>
  <c r="M12" i="20"/>
  <c r="M11" i="20"/>
  <c r="M10" i="20"/>
  <c r="M9" i="20"/>
  <c r="M8" i="20"/>
  <c r="M7" i="20"/>
  <c r="M6" i="20"/>
  <c r="M5" i="20"/>
  <c r="M4" i="20"/>
  <c r="M3" i="20"/>
  <c r="M15" i="20" l="1"/>
  <c r="I5" i="20" l="1"/>
  <c r="H9" i="20" l="1"/>
  <c r="I9" i="20"/>
  <c r="J9" i="20"/>
  <c r="K9" i="20"/>
  <c r="K8" i="20"/>
  <c r="L9" i="20" l="1"/>
  <c r="D14" i="1" l="1"/>
  <c r="E14" i="1"/>
  <c r="E13" i="1" l="1"/>
  <c r="D13" i="1"/>
  <c r="D12" i="1" l="1"/>
  <c r="E12" i="1"/>
  <c r="C12" i="1"/>
  <c r="E11" i="1" l="1"/>
  <c r="D11" i="1"/>
  <c r="C11" i="1"/>
  <c r="G147" i="17" l="1"/>
  <c r="G146" i="17"/>
  <c r="G145" i="17"/>
  <c r="G144" i="17"/>
  <c r="G142" i="17"/>
  <c r="G141" i="17"/>
  <c r="G140" i="17"/>
  <c r="G139" i="17"/>
  <c r="G138" i="17"/>
  <c r="D10" i="1" l="1"/>
  <c r="E10" i="1"/>
  <c r="C10" i="1"/>
  <c r="E9" i="1"/>
  <c r="D9" i="1"/>
  <c r="C9" i="1"/>
  <c r="G113" i="17" l="1"/>
  <c r="G112" i="17"/>
  <c r="G111" i="17"/>
  <c r="G110" i="17"/>
  <c r="G108" i="17"/>
  <c r="G107" i="17"/>
  <c r="G106" i="17"/>
  <c r="G105" i="17"/>
  <c r="G104" i="17"/>
  <c r="J8" i="20" l="1"/>
  <c r="I8" i="20"/>
  <c r="H8" i="20"/>
  <c r="E8" i="1" l="1"/>
  <c r="C8" i="1"/>
  <c r="D8" i="1"/>
  <c r="B8" i="1"/>
  <c r="E7" i="1" l="1"/>
  <c r="D7" i="1"/>
  <c r="B7" i="1"/>
  <c r="C7" i="1"/>
  <c r="E6" i="1" l="1"/>
  <c r="D6" i="1"/>
  <c r="B6" i="1"/>
  <c r="E5" i="1"/>
  <c r="D5" i="1"/>
  <c r="B5" i="1"/>
  <c r="E4" i="1"/>
  <c r="C4" i="1"/>
  <c r="D4" i="1"/>
  <c r="B4" i="1"/>
  <c r="E3" i="1"/>
  <c r="D3" i="1"/>
  <c r="B3" i="1"/>
  <c r="C5" i="1"/>
  <c r="C3" i="1"/>
  <c r="D15" i="1" l="1"/>
  <c r="E15" i="1"/>
  <c r="N10" i="20" l="1"/>
  <c r="N11" i="20"/>
  <c r="N12" i="20"/>
  <c r="N13" i="20"/>
  <c r="N14" i="20"/>
  <c r="O14" i="20"/>
  <c r="O13" i="20"/>
  <c r="O12" i="20"/>
  <c r="O11" i="20"/>
  <c r="O10" i="20"/>
  <c r="O9" i="20"/>
  <c r="U3" i="20"/>
  <c r="U4" i="20"/>
  <c r="U5" i="20"/>
  <c r="U6" i="20"/>
  <c r="U7" i="20"/>
  <c r="U8" i="20"/>
  <c r="U9" i="20"/>
  <c r="U10" i="20"/>
  <c r="U11" i="20"/>
  <c r="U12" i="20"/>
  <c r="U13" i="20"/>
  <c r="U14" i="20"/>
  <c r="N8" i="20"/>
  <c r="O8" i="20"/>
  <c r="N7" i="20"/>
  <c r="O7" i="20"/>
  <c r="N6" i="20"/>
  <c r="O6" i="20"/>
  <c r="N4" i="20"/>
  <c r="N5" i="20"/>
  <c r="O5" i="20"/>
  <c r="O4" i="20"/>
  <c r="N3" i="20"/>
  <c r="O3" i="20"/>
  <c r="N15" i="20" l="1"/>
  <c r="C14" i="20" l="1"/>
  <c r="C13" i="20"/>
  <c r="C12" i="20"/>
  <c r="C11" i="20"/>
  <c r="C10" i="20"/>
  <c r="C9" i="20"/>
  <c r="C8" i="20"/>
  <c r="C7" i="20"/>
  <c r="C6" i="20"/>
  <c r="C5" i="20"/>
  <c r="C4" i="20"/>
  <c r="C3" i="20"/>
  <c r="G192" i="17" l="1"/>
  <c r="G191" i="17"/>
  <c r="G190" i="17"/>
  <c r="G189" i="17"/>
  <c r="G187" i="17"/>
  <c r="G186" i="17"/>
  <c r="G185" i="17"/>
  <c r="G184" i="17"/>
  <c r="G183" i="17"/>
  <c r="F13" i="1" l="1"/>
  <c r="Q14" i="20" l="1"/>
  <c r="Q13" i="20"/>
  <c r="Q12" i="20"/>
  <c r="Q11" i="20"/>
  <c r="Q10" i="20"/>
  <c r="Q9" i="20"/>
  <c r="Q8" i="20"/>
  <c r="Q7" i="20"/>
  <c r="Q6" i="20"/>
  <c r="Q5" i="20"/>
  <c r="Q4" i="20"/>
  <c r="Q3" i="20"/>
  <c r="R14" i="20"/>
  <c r="R13" i="20"/>
  <c r="R12" i="20"/>
  <c r="R11" i="20"/>
  <c r="R10" i="20"/>
  <c r="R9" i="20"/>
  <c r="R8" i="20"/>
  <c r="R7" i="20"/>
  <c r="R6" i="20"/>
  <c r="R5" i="20"/>
  <c r="R4" i="20"/>
  <c r="R3" i="20"/>
  <c r="W3" i="20" l="1"/>
  <c r="W4" i="20"/>
  <c r="AC14" i="20" l="1"/>
  <c r="AB14" i="20"/>
  <c r="AA14" i="20"/>
  <c r="X14" i="20"/>
  <c r="W14" i="20"/>
  <c r="V14" i="20"/>
  <c r="T14" i="20"/>
  <c r="P14" i="20"/>
  <c r="K14" i="20"/>
  <c r="J14" i="20"/>
  <c r="I14" i="20"/>
  <c r="H14" i="20"/>
  <c r="G14" i="20"/>
  <c r="F14" i="20"/>
  <c r="E14" i="20"/>
  <c r="D14" i="20"/>
  <c r="B14" i="20"/>
  <c r="AC13" i="20"/>
  <c r="AB13" i="20"/>
  <c r="AA13" i="20"/>
  <c r="X13" i="20"/>
  <c r="W13" i="20"/>
  <c r="V13" i="20"/>
  <c r="T13" i="20"/>
  <c r="P13" i="20"/>
  <c r="K13" i="20"/>
  <c r="J13" i="20"/>
  <c r="I13" i="20"/>
  <c r="H13" i="20"/>
  <c r="G13" i="20"/>
  <c r="F13" i="20"/>
  <c r="E13" i="20"/>
  <c r="D13" i="20"/>
  <c r="B13" i="20"/>
  <c r="AC12" i="20"/>
  <c r="AB12" i="20"/>
  <c r="AA12" i="20"/>
  <c r="X12" i="20"/>
  <c r="W12" i="20"/>
  <c r="V12" i="20"/>
  <c r="T12" i="20"/>
  <c r="P12" i="20"/>
  <c r="K12" i="20"/>
  <c r="J12" i="20"/>
  <c r="I12" i="20"/>
  <c r="H12" i="20"/>
  <c r="G12" i="20"/>
  <c r="F12" i="20"/>
  <c r="E12" i="20"/>
  <c r="D12" i="20"/>
  <c r="B12" i="20"/>
  <c r="AC11" i="20"/>
  <c r="AB11" i="20"/>
  <c r="AA11" i="20"/>
  <c r="X11" i="20"/>
  <c r="W11" i="20"/>
  <c r="V11" i="20"/>
  <c r="T11" i="20"/>
  <c r="P11" i="20"/>
  <c r="K11" i="20"/>
  <c r="J11" i="20"/>
  <c r="I11" i="20"/>
  <c r="H11" i="20"/>
  <c r="G11" i="20"/>
  <c r="F11" i="20"/>
  <c r="E11" i="20"/>
  <c r="D11" i="20"/>
  <c r="B11" i="20"/>
  <c r="AC10" i="20"/>
  <c r="AB10" i="20"/>
  <c r="AA10" i="20"/>
  <c r="X10" i="20"/>
  <c r="W10" i="20"/>
  <c r="V10" i="20"/>
  <c r="T10" i="20"/>
  <c r="S10" i="20" s="1"/>
  <c r="P10" i="20"/>
  <c r="K10" i="20"/>
  <c r="J10" i="20"/>
  <c r="I10" i="20"/>
  <c r="H10" i="20"/>
  <c r="G10" i="20"/>
  <c r="F10" i="20"/>
  <c r="E10" i="20"/>
  <c r="D10" i="20"/>
  <c r="B10" i="20"/>
  <c r="AC9" i="20"/>
  <c r="AB9" i="20"/>
  <c r="AA9" i="20"/>
  <c r="X9" i="20"/>
  <c r="W9" i="20"/>
  <c r="V9" i="20"/>
  <c r="T9" i="20"/>
  <c r="P9" i="20"/>
  <c r="G9" i="20"/>
  <c r="F9" i="20"/>
  <c r="E9" i="20"/>
  <c r="D9" i="20"/>
  <c r="B9" i="20"/>
  <c r="AC8" i="20"/>
  <c r="AB8" i="20"/>
  <c r="AA8" i="20"/>
  <c r="X8" i="20"/>
  <c r="W8" i="20"/>
  <c r="V8" i="20"/>
  <c r="T8" i="20"/>
  <c r="P8" i="20"/>
  <c r="G8" i="20"/>
  <c r="F8" i="20"/>
  <c r="E8" i="20"/>
  <c r="D8" i="20"/>
  <c r="B8" i="20"/>
  <c r="AC7" i="20"/>
  <c r="AB7" i="20"/>
  <c r="AA7" i="20"/>
  <c r="X7" i="20"/>
  <c r="W7" i="20"/>
  <c r="V7" i="20"/>
  <c r="T7" i="20"/>
  <c r="P7" i="20"/>
  <c r="K7" i="20"/>
  <c r="J7" i="20"/>
  <c r="I7" i="20"/>
  <c r="H7" i="20"/>
  <c r="G7" i="20"/>
  <c r="F7" i="20"/>
  <c r="E7" i="20"/>
  <c r="D7" i="20"/>
  <c r="B7" i="20"/>
  <c r="AC6" i="20"/>
  <c r="AB6" i="20"/>
  <c r="AA6" i="20"/>
  <c r="X6" i="20"/>
  <c r="W6" i="20"/>
  <c r="V6" i="20"/>
  <c r="T6" i="20"/>
  <c r="P6" i="20"/>
  <c r="K6" i="20"/>
  <c r="J6" i="20"/>
  <c r="I6" i="20"/>
  <c r="H6" i="20"/>
  <c r="G6" i="20"/>
  <c r="F6" i="20"/>
  <c r="E6" i="20"/>
  <c r="D6" i="20"/>
  <c r="B6" i="20"/>
  <c r="AC5" i="20"/>
  <c r="AB5" i="20"/>
  <c r="AA5" i="20"/>
  <c r="X5" i="20"/>
  <c r="W5" i="20"/>
  <c r="V5" i="20"/>
  <c r="T5" i="20"/>
  <c r="P5" i="20"/>
  <c r="K5" i="20"/>
  <c r="J5" i="20"/>
  <c r="H5" i="20"/>
  <c r="G5" i="20"/>
  <c r="F5" i="20"/>
  <c r="E5" i="20"/>
  <c r="D5" i="20"/>
  <c r="B5" i="20"/>
  <c r="AC4" i="20"/>
  <c r="AB4" i="20"/>
  <c r="AA4" i="20"/>
  <c r="X4" i="20"/>
  <c r="V4" i="20"/>
  <c r="T4" i="20"/>
  <c r="P4" i="20"/>
  <c r="K4" i="20"/>
  <c r="J4" i="20"/>
  <c r="I4" i="20"/>
  <c r="H4" i="20"/>
  <c r="G4" i="20"/>
  <c r="F4" i="20"/>
  <c r="E4" i="20"/>
  <c r="D4" i="20"/>
  <c r="B4" i="20"/>
  <c r="AC3" i="20"/>
  <c r="AB3" i="20"/>
  <c r="AA3" i="20"/>
  <c r="X3" i="20"/>
  <c r="V3" i="20"/>
  <c r="T3" i="20"/>
  <c r="P3" i="20"/>
  <c r="K3" i="20"/>
  <c r="J3" i="20"/>
  <c r="I3" i="20"/>
  <c r="H3" i="20"/>
  <c r="G3" i="20"/>
  <c r="F3" i="20"/>
  <c r="E3" i="20"/>
  <c r="D3" i="20"/>
  <c r="B3" i="20"/>
  <c r="Z9" i="20" l="1"/>
  <c r="Z7" i="20"/>
  <c r="Z5" i="20"/>
  <c r="Z11" i="20"/>
  <c r="Z13" i="20"/>
  <c r="Z3" i="20"/>
  <c r="Z4" i="20"/>
  <c r="Z6" i="20"/>
  <c r="Z8" i="20"/>
  <c r="Z10" i="20"/>
  <c r="Z12" i="20"/>
  <c r="Z14" i="20"/>
  <c r="AB15" i="20"/>
  <c r="S8" i="20"/>
  <c r="S12" i="20"/>
  <c r="L5" i="20"/>
  <c r="L7" i="20"/>
  <c r="L11" i="20"/>
  <c r="L13" i="20"/>
  <c r="L3" i="20"/>
  <c r="L4" i="20"/>
  <c r="L6" i="20"/>
  <c r="L8" i="20"/>
  <c r="L10" i="20"/>
  <c r="L12" i="20"/>
  <c r="L14" i="20"/>
  <c r="S4" i="20"/>
  <c r="S6" i="20"/>
  <c r="S7" i="20"/>
  <c r="B15" i="20"/>
  <c r="D15" i="20"/>
  <c r="F15" i="20"/>
  <c r="H15" i="20"/>
  <c r="J15" i="20"/>
  <c r="O15" i="20"/>
  <c r="R15" i="20"/>
  <c r="U15" i="20"/>
  <c r="X15" i="20"/>
  <c r="AA15" i="20"/>
  <c r="AC15" i="20"/>
  <c r="S11" i="20"/>
  <c r="W15" i="20"/>
  <c r="C15" i="20"/>
  <c r="E15" i="20"/>
  <c r="G15" i="20"/>
  <c r="I15" i="20"/>
  <c r="K15" i="20"/>
  <c r="P15" i="20"/>
  <c r="Q15" i="20"/>
  <c r="T15" i="20"/>
  <c r="V15" i="20"/>
  <c r="S5" i="20"/>
  <c r="S9" i="20"/>
  <c r="S13" i="20"/>
  <c r="S14" i="20"/>
  <c r="S3" i="20"/>
  <c r="B14" i="1"/>
  <c r="C14" i="1"/>
  <c r="F14" i="1"/>
  <c r="G14" i="1"/>
  <c r="H14" i="1"/>
  <c r="J14" i="1"/>
  <c r="K14" i="1"/>
  <c r="L14" i="1"/>
  <c r="M14" i="1"/>
  <c r="O14" i="1"/>
  <c r="P14" i="1"/>
  <c r="Q14" i="1"/>
  <c r="R14" i="1"/>
  <c r="S14" i="1"/>
  <c r="T14" i="1"/>
  <c r="U14" i="1"/>
  <c r="V14" i="1"/>
  <c r="W14" i="1"/>
  <c r="X14" i="1"/>
  <c r="Y14" i="1"/>
  <c r="Z14" i="1"/>
  <c r="AB14" i="1"/>
  <c r="AC14" i="1"/>
  <c r="AD14" i="1"/>
  <c r="AE14" i="1"/>
  <c r="AF14" i="1"/>
  <c r="B13" i="1"/>
  <c r="C13" i="1"/>
  <c r="G13" i="1"/>
  <c r="J13" i="1"/>
  <c r="K13" i="1"/>
  <c r="L13" i="1"/>
  <c r="M13" i="1"/>
  <c r="O13" i="1"/>
  <c r="P13" i="1"/>
  <c r="Q13" i="1"/>
  <c r="R13" i="1"/>
  <c r="S13" i="1"/>
  <c r="T13" i="1"/>
  <c r="U13" i="1"/>
  <c r="V13" i="1"/>
  <c r="W13" i="1"/>
  <c r="X13" i="1"/>
  <c r="Y13" i="1"/>
  <c r="Z13" i="1"/>
  <c r="AB13" i="1"/>
  <c r="AC13" i="1"/>
  <c r="AD13" i="1"/>
  <c r="AE13" i="1"/>
  <c r="AF13" i="1"/>
  <c r="B12" i="1"/>
  <c r="F12" i="1"/>
  <c r="G12" i="1"/>
  <c r="H12" i="1"/>
  <c r="J12" i="1"/>
  <c r="K12" i="1"/>
  <c r="L12" i="1"/>
  <c r="M12" i="1"/>
  <c r="O12" i="1"/>
  <c r="P12" i="1"/>
  <c r="Q12" i="1"/>
  <c r="R12" i="1"/>
  <c r="S12" i="1"/>
  <c r="T12" i="1"/>
  <c r="U12" i="1"/>
  <c r="V12" i="1"/>
  <c r="W12" i="1"/>
  <c r="X12" i="1"/>
  <c r="Y12" i="1"/>
  <c r="Z12" i="1"/>
  <c r="AB12" i="1"/>
  <c r="AC12" i="1"/>
  <c r="AD12" i="1"/>
  <c r="AE12" i="1"/>
  <c r="AF12" i="1"/>
  <c r="B11" i="1"/>
  <c r="F11" i="1"/>
  <c r="G11" i="1"/>
  <c r="H11" i="1"/>
  <c r="I11" i="1"/>
  <c r="J11" i="1"/>
  <c r="K11" i="1"/>
  <c r="L11" i="1"/>
  <c r="M11" i="1"/>
  <c r="O11" i="1"/>
  <c r="P11" i="1"/>
  <c r="Q11" i="1"/>
  <c r="R11" i="1"/>
  <c r="S11" i="1"/>
  <c r="T11" i="1"/>
  <c r="U11" i="1"/>
  <c r="V11" i="1"/>
  <c r="W11" i="1"/>
  <c r="X11" i="1"/>
  <c r="Y11" i="1"/>
  <c r="Z11" i="1"/>
  <c r="AB11" i="1"/>
  <c r="AC11" i="1"/>
  <c r="AD11" i="1"/>
  <c r="AE11" i="1"/>
  <c r="AF11" i="1"/>
  <c r="B10" i="1"/>
  <c r="F10" i="1"/>
  <c r="G10" i="1"/>
  <c r="H10" i="1"/>
  <c r="I10" i="1"/>
  <c r="J10" i="1"/>
  <c r="K10" i="1"/>
  <c r="L10" i="1"/>
  <c r="M10" i="1"/>
  <c r="O10" i="1"/>
  <c r="P10" i="1"/>
  <c r="Q10" i="1"/>
  <c r="R10" i="1"/>
  <c r="S10" i="1"/>
  <c r="T10" i="1"/>
  <c r="V10" i="1"/>
  <c r="W10" i="1"/>
  <c r="X10" i="1"/>
  <c r="Y10" i="1"/>
  <c r="Z10" i="1"/>
  <c r="AB10" i="1"/>
  <c r="AC10" i="1"/>
  <c r="AD10" i="1"/>
  <c r="AE10" i="1"/>
  <c r="AF10" i="1"/>
  <c r="B9" i="1"/>
  <c r="F9" i="1"/>
  <c r="G9" i="1"/>
  <c r="H9" i="1"/>
  <c r="I9" i="1"/>
  <c r="J9" i="1"/>
  <c r="K9" i="1"/>
  <c r="L9" i="1"/>
  <c r="M9" i="1"/>
  <c r="O9" i="1"/>
  <c r="P9" i="1"/>
  <c r="Q9" i="1"/>
  <c r="R9" i="1"/>
  <c r="S9" i="1"/>
  <c r="T9" i="1"/>
  <c r="V9" i="1"/>
  <c r="W9" i="1"/>
  <c r="X9" i="1"/>
  <c r="Y9" i="1"/>
  <c r="Z9" i="1"/>
  <c r="AB9" i="1"/>
  <c r="AC9" i="1"/>
  <c r="AD9" i="1"/>
  <c r="AE9" i="1"/>
  <c r="AF9" i="1"/>
  <c r="F8" i="1"/>
  <c r="G8" i="1"/>
  <c r="H8" i="1"/>
  <c r="I8" i="1"/>
  <c r="J8" i="1"/>
  <c r="K8" i="1"/>
  <c r="L8" i="1"/>
  <c r="M8" i="1"/>
  <c r="O8" i="1"/>
  <c r="P8" i="1"/>
  <c r="Q8" i="1"/>
  <c r="R8" i="1"/>
  <c r="S8" i="1"/>
  <c r="T8" i="1"/>
  <c r="U8" i="1"/>
  <c r="V8" i="1"/>
  <c r="W8" i="1"/>
  <c r="X8" i="1"/>
  <c r="Y8" i="1"/>
  <c r="Z8" i="1"/>
  <c r="AB8" i="1"/>
  <c r="AC8" i="1"/>
  <c r="AD8" i="1"/>
  <c r="AE8" i="1"/>
  <c r="AF8" i="1"/>
  <c r="F7" i="1"/>
  <c r="G7" i="1"/>
  <c r="H7" i="1"/>
  <c r="I7" i="1"/>
  <c r="J7" i="1"/>
  <c r="K7" i="1"/>
  <c r="L7" i="1"/>
  <c r="M7" i="1"/>
  <c r="O7" i="1"/>
  <c r="P7" i="1"/>
  <c r="Q7" i="1"/>
  <c r="R7" i="1"/>
  <c r="S7" i="1"/>
  <c r="T7" i="1"/>
  <c r="U7" i="1"/>
  <c r="V7" i="1"/>
  <c r="W7" i="1"/>
  <c r="X7" i="1"/>
  <c r="Y7" i="1"/>
  <c r="Z7" i="1"/>
  <c r="AB7" i="1"/>
  <c r="AC7" i="1"/>
  <c r="AD7" i="1"/>
  <c r="AE7" i="1"/>
  <c r="AF7" i="1"/>
  <c r="C6" i="1"/>
  <c r="F6" i="1"/>
  <c r="G6" i="1"/>
  <c r="H6" i="1"/>
  <c r="I6" i="1"/>
  <c r="J6" i="1"/>
  <c r="K6" i="1"/>
  <c r="L6" i="1"/>
  <c r="M6" i="1"/>
  <c r="O6" i="1"/>
  <c r="P6" i="1"/>
  <c r="Q6" i="1"/>
  <c r="R6" i="1"/>
  <c r="S6" i="1"/>
  <c r="T6" i="1"/>
  <c r="U6" i="1"/>
  <c r="V6" i="1"/>
  <c r="W6" i="1"/>
  <c r="X6" i="1"/>
  <c r="Y6" i="1"/>
  <c r="Z6" i="1"/>
  <c r="AB6" i="1"/>
  <c r="AC6" i="1"/>
  <c r="AD6" i="1"/>
  <c r="AE6" i="1"/>
  <c r="AF6" i="1"/>
  <c r="G5" i="1"/>
  <c r="J5" i="1"/>
  <c r="K5" i="1"/>
  <c r="L5" i="1"/>
  <c r="M5" i="1"/>
  <c r="O5" i="1"/>
  <c r="P5" i="1"/>
  <c r="Q5" i="1"/>
  <c r="R5" i="1"/>
  <c r="R15" i="1" s="1"/>
  <c r="S5" i="1"/>
  <c r="T5" i="1"/>
  <c r="U5" i="1"/>
  <c r="V5" i="1"/>
  <c r="W5" i="1"/>
  <c r="X5" i="1"/>
  <c r="Y5" i="1"/>
  <c r="Z5" i="1"/>
  <c r="AB5" i="1"/>
  <c r="AC5" i="1"/>
  <c r="AD5" i="1"/>
  <c r="AE5" i="1"/>
  <c r="AF5" i="1"/>
  <c r="G4" i="1"/>
  <c r="J4" i="1"/>
  <c r="K4" i="1"/>
  <c r="L4" i="1"/>
  <c r="M4" i="1"/>
  <c r="O4" i="1"/>
  <c r="P4" i="1"/>
  <c r="Q4" i="1"/>
  <c r="R4" i="1"/>
  <c r="S4" i="1"/>
  <c r="T4" i="1"/>
  <c r="U4" i="1"/>
  <c r="V4" i="1"/>
  <c r="W4" i="1"/>
  <c r="X4" i="1"/>
  <c r="Y4" i="1"/>
  <c r="Z4" i="1"/>
  <c r="AB4" i="1"/>
  <c r="AC4" i="1"/>
  <c r="AD4" i="1"/>
  <c r="AE4" i="1"/>
  <c r="AF4" i="1"/>
  <c r="G3" i="1"/>
  <c r="J3" i="1"/>
  <c r="K3" i="1"/>
  <c r="L3" i="1"/>
  <c r="M3" i="1"/>
  <c r="O3" i="1"/>
  <c r="O15" i="1" s="1"/>
  <c r="P3" i="1"/>
  <c r="Q3" i="1"/>
  <c r="R3" i="1"/>
  <c r="S3" i="1"/>
  <c r="T3" i="1"/>
  <c r="U3" i="1"/>
  <c r="V3" i="1"/>
  <c r="W3" i="1"/>
  <c r="X3" i="1"/>
  <c r="Y3" i="1"/>
  <c r="AB3" i="1"/>
  <c r="AC3" i="1"/>
  <c r="AD3" i="1"/>
  <c r="AE3" i="1"/>
  <c r="AF3" i="1"/>
  <c r="U15" i="1" l="1"/>
  <c r="S15" i="1"/>
  <c r="L15" i="20"/>
  <c r="Z15" i="20"/>
  <c r="L15" i="1"/>
  <c r="P15" i="1"/>
  <c r="Q15" i="1"/>
  <c r="M15" i="1"/>
  <c r="K15" i="1"/>
  <c r="B15" i="1"/>
  <c r="G15" i="1"/>
  <c r="X15" i="1"/>
  <c r="AD15" i="1"/>
  <c r="Y15" i="1"/>
  <c r="V15" i="1"/>
  <c r="AE15" i="1"/>
  <c r="AC15" i="1"/>
  <c r="N15" i="1"/>
  <c r="AF15" i="1"/>
  <c r="W15" i="1"/>
  <c r="AB15" i="1"/>
  <c r="C15" i="1"/>
  <c r="S15" i="20"/>
  <c r="J15" i="1"/>
  <c r="I5" i="1" l="1"/>
  <c r="F5" i="1"/>
  <c r="H5" i="1"/>
  <c r="I4" i="1" l="1"/>
  <c r="F4" i="1"/>
  <c r="H4" i="1"/>
  <c r="I3" i="1" l="1"/>
  <c r="I15" i="1" s="1"/>
  <c r="F3" i="1"/>
  <c r="F15" i="1" s="1"/>
  <c r="H3" i="1"/>
  <c r="H15" i="1" s="1"/>
  <c r="G237" i="17" l="1"/>
  <c r="G236" i="17"/>
  <c r="G235" i="17"/>
  <c r="G234" i="17"/>
  <c r="G232" i="17"/>
  <c r="G231" i="17"/>
  <c r="G230" i="17"/>
  <c r="G229" i="17"/>
  <c r="G228" i="17"/>
  <c r="G213" i="17"/>
  <c r="G214" i="17"/>
  <c r="G222" i="17"/>
  <c r="G221" i="17"/>
  <c r="G220" i="17"/>
  <c r="G219" i="17"/>
  <c r="G217" i="17"/>
  <c r="G216" i="17"/>
  <c r="G215" i="17"/>
  <c r="G198" i="17"/>
  <c r="G202" i="17"/>
  <c r="G201" i="17"/>
  <c r="G200" i="17"/>
  <c r="G199" i="17"/>
  <c r="G207" i="17"/>
  <c r="G206" i="17"/>
  <c r="G205" i="17"/>
  <c r="G204" i="17"/>
  <c r="G8" i="17" l="1"/>
  <c r="G9" i="17"/>
  <c r="G174" i="17"/>
  <c r="G173" i="17"/>
  <c r="G172" i="17"/>
  <c r="G171" i="17"/>
  <c r="G169" i="17"/>
  <c r="G168" i="17"/>
  <c r="G167" i="17"/>
  <c r="G166" i="17"/>
  <c r="G165" i="17"/>
  <c r="G31" i="17"/>
  <c r="G30" i="17"/>
  <c r="G29" i="17"/>
  <c r="G28" i="17"/>
  <c r="G26" i="17"/>
  <c r="G25" i="17"/>
  <c r="G24" i="17"/>
  <c r="G23" i="17"/>
  <c r="G22" i="17"/>
  <c r="G17" i="17"/>
  <c r="G16" i="17"/>
  <c r="G15" i="17"/>
  <c r="G14" i="17"/>
  <c r="G12" i="17"/>
  <c r="G11" i="17"/>
  <c r="G10" i="17"/>
  <c r="G37" i="17"/>
  <c r="G38" i="17"/>
  <c r="G39" i="17"/>
  <c r="G40" i="17"/>
  <c r="G41" i="17"/>
  <c r="G43" i="17"/>
  <c r="G44" i="17"/>
  <c r="G45" i="17"/>
  <c r="G46" i="17"/>
  <c r="G251" i="17"/>
  <c r="G250" i="17"/>
  <c r="G249" i="17"/>
  <c r="G248" i="17"/>
  <c r="G246" i="17"/>
  <c r="G245" i="17"/>
  <c r="G244" i="17"/>
  <c r="G243" i="17"/>
  <c r="G242" i="17"/>
  <c r="G84" i="17"/>
  <c r="G83" i="17"/>
  <c r="G82" i="17"/>
  <c r="G81" i="17"/>
  <c r="G79" i="17"/>
  <c r="G78" i="17"/>
  <c r="G77" i="17"/>
  <c r="G76" i="17"/>
  <c r="G75" i="17"/>
  <c r="G64" i="17"/>
  <c r="G63" i="17"/>
  <c r="G62" i="17"/>
  <c r="G61" i="17"/>
  <c r="G59" i="17"/>
  <c r="G58" i="17"/>
  <c r="G57" i="17"/>
  <c r="G56" i="17"/>
  <c r="G5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Tomáš Fedor</author>
  </authors>
  <commentList>
    <comment ref="AB29" authorId="0" shapeId="0" xr:uid="{135BA706-F9BF-4B7C-9C44-451DA2895B5D}">
      <text>
        <r>
          <rPr>
            <b/>
            <sz val="9"/>
            <color indexed="81"/>
            <rFont val="Segoe UI"/>
            <family val="2"/>
            <charset val="238"/>
          </rPr>
          <t>slabý cirkumzenitálny oblúk na cirostratoch</t>
        </r>
      </text>
    </comment>
    <comment ref="S95" authorId="0" shapeId="0" xr:uid="{14C665A8-9CAD-4F2A-9BF5-937C648D89B0}">
      <text>
        <r>
          <rPr>
            <b/>
            <sz val="9"/>
            <color indexed="81"/>
            <rFont val="Segoe UI"/>
            <family val="2"/>
            <charset val="238"/>
          </rPr>
          <t xml:space="preserve">hrebeň v 2 m 13.7 m/s 16:10-18:00
</t>
        </r>
      </text>
    </comment>
    <comment ref="U95" authorId="0" shapeId="0" xr:uid="{411899C6-88E2-4E97-95DD-5A9D6101245F}">
      <text>
        <r>
          <rPr>
            <b/>
            <sz val="9"/>
            <color indexed="81"/>
            <rFont val="Segoe UI"/>
            <family val="2"/>
            <charset val="238"/>
          </rPr>
          <t>hrebeň v 2 m 6 m/s 16:10-18:00</t>
        </r>
      </text>
    </comment>
    <comment ref="S99" authorId="0" shapeId="0" xr:uid="{A4C8EE0C-C95A-4DB3-BB28-F5544BDD6D24}">
      <text>
        <r>
          <rPr>
            <b/>
            <sz val="9"/>
            <color indexed="81"/>
            <rFont val="Segoe UI"/>
            <family val="2"/>
            <charset val="238"/>
          </rPr>
          <t xml:space="preserve">hrebeň v 2 m 14 m/s 16:50-12:20 </t>
        </r>
        <r>
          <rPr>
            <sz val="9"/>
            <color indexed="81"/>
            <rFont val="Segoe UI"/>
            <family val="2"/>
            <charset val="238"/>
          </rPr>
          <t xml:space="preserve">
</t>
        </r>
      </text>
    </comment>
    <comment ref="U99" authorId="0" shapeId="0" xr:uid="{6CC2D658-56CD-4F2E-ADB2-3CE1E7AC8700}">
      <text>
        <r>
          <rPr>
            <b/>
            <sz val="9"/>
            <color indexed="81"/>
            <rFont val="Segoe UI"/>
            <family val="2"/>
            <charset val="238"/>
          </rPr>
          <t>hrebeň v 2 m 6.1 m/s 16:50-17:20</t>
        </r>
        <r>
          <rPr>
            <sz val="9"/>
            <color indexed="81"/>
            <rFont val="Segoe UI"/>
            <family val="2"/>
            <charset val="238"/>
          </rPr>
          <t xml:space="preserve">
</t>
        </r>
      </text>
    </comment>
    <comment ref="X208" authorId="0" shapeId="0" xr:uid="{7AEC3469-E705-4BA1-843A-F28BBC431BAE}">
      <text>
        <r>
          <rPr>
            <b/>
            <sz val="9"/>
            <color indexed="81"/>
            <rFont val="Segoe UI"/>
            <family val="2"/>
            <charset val="238"/>
          </rPr>
          <t>výpadok staničného zrážkomera</t>
        </r>
        <r>
          <rPr>
            <sz val="9"/>
            <color indexed="81"/>
            <rFont val="Segoe UI"/>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Tomáš Fedor</author>
    <author>Peter Fedor</author>
  </authors>
  <commentList>
    <comment ref="G2" authorId="0" shapeId="0" xr:uid="{00000000-0006-0000-0100-000001000000}">
      <text>
        <r>
          <rPr>
            <b/>
            <sz val="9"/>
            <color indexed="81"/>
            <rFont val="Tahoma"/>
            <family val="2"/>
            <charset val="238"/>
          </rPr>
          <t>Nad pozorovacím miestom</t>
        </r>
      </text>
    </comment>
    <comment ref="K2" authorId="0" shapeId="0" xr:uid="{00000000-0006-0000-0100-000002000000}">
      <text>
        <r>
          <rPr>
            <b/>
            <sz val="9"/>
            <color indexed="81"/>
            <rFont val="Tahoma"/>
            <family val="2"/>
            <charset val="238"/>
          </rPr>
          <t>V čase trvania búrky</t>
        </r>
        <r>
          <rPr>
            <sz val="9"/>
            <color indexed="81"/>
            <rFont val="Tahoma"/>
            <family val="2"/>
            <charset val="238"/>
          </rPr>
          <t xml:space="preserve">
</t>
        </r>
      </text>
    </comment>
    <comment ref="J66" authorId="0" shapeId="0" xr:uid="{103E6CDF-852C-4D5F-B7A2-841808C0455A}">
      <text>
        <r>
          <rPr>
            <b/>
            <sz val="9"/>
            <color indexed="81"/>
            <rFont val="Segoe UI"/>
            <family val="2"/>
            <charset val="238"/>
          </rPr>
          <t>Hrebeň v 2 m 14,6 m/s</t>
        </r>
        <r>
          <rPr>
            <sz val="9"/>
            <color indexed="81"/>
            <rFont val="Segoe UI"/>
            <family val="2"/>
            <charset val="238"/>
          </rPr>
          <t xml:space="preserve">
</t>
        </r>
      </text>
    </comment>
    <comment ref="A253" authorId="1" shapeId="0" xr:uid="{00000000-0006-0000-0100-000003000000}">
      <text>
        <r>
          <rPr>
            <b/>
            <sz val="9"/>
            <color indexed="81"/>
            <rFont val="Tahoma"/>
            <family val="2"/>
            <charset val="238"/>
          </rPr>
          <t>maximálny náraz vetra</t>
        </r>
        <r>
          <rPr>
            <sz val="9"/>
            <color indexed="81"/>
            <rFont val="Tahoma"/>
            <family val="2"/>
            <charset val="238"/>
          </rPr>
          <t xml:space="preserve">
</t>
        </r>
      </text>
    </comment>
    <comment ref="A254" authorId="1" shapeId="0" xr:uid="{00000000-0006-0000-0100-000004000000}">
      <text>
        <r>
          <rPr>
            <b/>
            <sz val="9"/>
            <color indexed="81"/>
            <rFont val="Tahoma"/>
            <family val="2"/>
            <charset val="238"/>
          </rPr>
          <t>Priemer vetra v čase výskytu búrky</t>
        </r>
        <r>
          <rPr>
            <sz val="9"/>
            <color indexed="81"/>
            <rFont val="Tahoma"/>
            <family val="2"/>
            <charset val="238"/>
          </rPr>
          <t xml:space="preserve">
</t>
        </r>
      </text>
    </comment>
    <comment ref="A255" authorId="1" shapeId="0" xr:uid="{00000000-0006-0000-0100-000005000000}">
      <text>
        <r>
          <rPr>
            <b/>
            <sz val="9"/>
            <color indexed="81"/>
            <rFont val="Tahoma"/>
            <family val="2"/>
            <charset val="238"/>
          </rPr>
          <t>celkové množstvo zrážok</t>
        </r>
        <r>
          <rPr>
            <sz val="9"/>
            <color indexed="81"/>
            <rFont val="Tahoma"/>
            <family val="2"/>
            <charset val="238"/>
          </rPr>
          <t xml:space="preserve">
</t>
        </r>
      </text>
    </comment>
    <comment ref="A256" authorId="1" shapeId="0" xr:uid="{00000000-0006-0000-0100-000006000000}">
      <text>
        <r>
          <rPr>
            <b/>
            <sz val="9"/>
            <color indexed="81"/>
            <rFont val="Tahoma"/>
            <family val="2"/>
            <charset val="238"/>
          </rPr>
          <t>maximálna intenzita zrážok</t>
        </r>
      </text>
    </comment>
    <comment ref="A257" authorId="1" shapeId="0" xr:uid="{00000000-0006-0000-0100-000007000000}">
      <text>
        <r>
          <rPr>
            <b/>
            <sz val="9"/>
            <color indexed="81"/>
            <rFont val="Tahoma"/>
            <family val="2"/>
            <charset val="238"/>
          </rPr>
          <t>maximálny priemer krúp/výška napadnutej vrstvy</t>
        </r>
        <r>
          <rPr>
            <sz val="9"/>
            <color indexed="81"/>
            <rFont val="Tahoma"/>
            <family val="2"/>
            <charset val="238"/>
          </rPr>
          <t xml:space="preserve">
</t>
        </r>
      </text>
    </comment>
    <comment ref="A258" authorId="1" shapeId="0" xr:uid="{00000000-0006-0000-0100-000008000000}">
      <text>
        <r>
          <rPr>
            <b/>
            <sz val="9"/>
            <color indexed="81"/>
            <rFont val="Tahoma"/>
            <family val="2"/>
            <charset val="238"/>
          </rPr>
          <t>množstvo novonapadnutého snehu</t>
        </r>
        <r>
          <rPr>
            <sz val="9"/>
            <color indexed="81"/>
            <rFont val="Tahoma"/>
            <family val="2"/>
            <charset val="238"/>
          </rPr>
          <t xml:space="preserve">
</t>
        </r>
      </text>
    </comment>
    <comment ref="A259" authorId="1" shapeId="0" xr:uid="{00000000-0006-0000-0100-000009000000}">
      <text>
        <r>
          <rPr>
            <b/>
            <sz val="9"/>
            <color indexed="81"/>
            <rFont val="Tahoma"/>
            <family val="2"/>
            <charset val="238"/>
          </rPr>
          <t>počet bleskov podľa detekcie blitzortung (vzdialenosť úderu pod 20 km od pozorovacieho miesta)</t>
        </r>
        <r>
          <rPr>
            <sz val="9"/>
            <color indexed="81"/>
            <rFont val="Tahoma"/>
            <family val="2"/>
            <charset val="238"/>
          </rPr>
          <t xml:space="preserve">
</t>
        </r>
      </text>
    </comment>
    <comment ref="A260" authorId="1" shapeId="0" xr:uid="{00000000-0006-0000-0100-00000A000000}">
      <text>
        <r>
          <rPr>
            <b/>
            <sz val="9"/>
            <color indexed="81"/>
            <rFont val="Tahoma"/>
            <family val="2"/>
            <charset val="238"/>
          </rPr>
          <t>približná maximálna odrazivosť bunky na radare</t>
        </r>
        <r>
          <rPr>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Fedor</author>
    <author>Tomáš Fedor</author>
  </authors>
  <commentList>
    <comment ref="A2" authorId="0" shapeId="0" xr:uid="{00000000-0006-0000-0200-000001000000}">
      <text>
        <r>
          <rPr>
            <sz val="9"/>
            <color indexed="81"/>
            <rFont val="Tahoma"/>
            <family val="2"/>
            <charset val="238"/>
          </rPr>
          <t xml:space="preserve">časy sú v letnom a zimnom (miestnom) čase
</t>
        </r>
      </text>
    </comment>
    <comment ref="B2" authorId="0" shapeId="0" xr:uid="{00000000-0006-0000-0200-000002000000}">
      <text>
        <r>
          <rPr>
            <b/>
            <sz val="9"/>
            <color indexed="81"/>
            <rFont val="Tahoma"/>
            <family val="2"/>
            <charset val="238"/>
          </rPr>
          <t>Najvyššia nameraná teplota počas mesiaca</t>
        </r>
      </text>
    </comment>
    <comment ref="C2" authorId="0" shapeId="0" xr:uid="{00000000-0006-0000-0200-000003000000}">
      <text>
        <r>
          <rPr>
            <b/>
            <sz val="9"/>
            <color indexed="81"/>
            <rFont val="Tahoma"/>
            <family val="2"/>
            <charset val="238"/>
          </rPr>
          <t>Najnižšia nameraná teplota počas mesiaca</t>
        </r>
        <r>
          <rPr>
            <sz val="9"/>
            <color indexed="81"/>
            <rFont val="Tahoma"/>
            <family val="2"/>
            <charset val="238"/>
          </rPr>
          <t xml:space="preserve">
</t>
        </r>
      </text>
    </comment>
    <comment ref="D2" authorId="1" shapeId="0" xr:uid="{00000000-0006-0000-0200-000004000000}">
      <text>
        <r>
          <rPr>
            <b/>
            <sz val="9"/>
            <color indexed="81"/>
            <rFont val="Tahoma"/>
            <family val="2"/>
            <charset val="238"/>
          </rPr>
          <t xml:space="preserve">Najvyššia amplitúda teploty vzduchu
</t>
        </r>
      </text>
    </comment>
    <comment ref="E2" authorId="1" shapeId="0" xr:uid="{00000000-0006-0000-0200-000005000000}">
      <text>
        <r>
          <rPr>
            <b/>
            <sz val="9"/>
            <color indexed="81"/>
            <rFont val="Tahoma"/>
            <family val="2"/>
            <charset val="238"/>
          </rPr>
          <t xml:space="preserve">Najnižšia amplitúda teploty vzduchu
</t>
        </r>
        <r>
          <rPr>
            <sz val="9"/>
            <color indexed="81"/>
            <rFont val="Tahoma"/>
            <family val="2"/>
            <charset val="238"/>
          </rPr>
          <t xml:space="preserve">
</t>
        </r>
      </text>
    </comment>
    <comment ref="F2" authorId="0" shapeId="0" xr:uid="{00000000-0006-0000-0200-000006000000}">
      <text>
        <r>
          <rPr>
            <b/>
            <sz val="9"/>
            <color indexed="81"/>
            <rFont val="Tahoma"/>
            <family val="2"/>
            <charset val="238"/>
          </rPr>
          <t xml:space="preserve">Priemerná teplota </t>
        </r>
      </text>
    </comment>
    <comment ref="G2" authorId="0" shapeId="0" xr:uid="{00000000-0006-0000-0200-000007000000}">
      <text>
        <r>
          <rPr>
            <b/>
            <sz val="9"/>
            <color indexed="81"/>
            <rFont val="Tahoma"/>
            <family val="2"/>
            <charset val="238"/>
          </rPr>
          <t>Priemerná teplota (priemer údajov zapísaných v intervale 1 minúta)</t>
        </r>
      </text>
    </comment>
    <comment ref="H2" authorId="1" shapeId="0" xr:uid="{00000000-0006-0000-0200-000008000000}">
      <text>
        <r>
          <rPr>
            <b/>
            <sz val="9"/>
            <color indexed="81"/>
            <rFont val="Tahoma"/>
            <family val="2"/>
            <charset val="238"/>
          </rPr>
          <t>Najvyššia priemerná denná teplota vzduchu</t>
        </r>
      </text>
    </comment>
    <comment ref="I2" authorId="1" shapeId="0" xr:uid="{00000000-0006-0000-0200-000009000000}">
      <text>
        <r>
          <rPr>
            <b/>
            <sz val="9"/>
            <color indexed="81"/>
            <rFont val="Tahoma"/>
            <family val="2"/>
            <charset val="238"/>
          </rPr>
          <t>Najnižšia priemerná denná teplota vzduchu</t>
        </r>
        <r>
          <rPr>
            <sz val="9"/>
            <color indexed="81"/>
            <rFont val="Tahoma"/>
            <family val="2"/>
            <charset val="238"/>
          </rPr>
          <t xml:space="preserve">
</t>
        </r>
      </text>
    </comment>
    <comment ref="J2" authorId="0" shapeId="0" xr:uid="{00000000-0006-0000-0200-00000A000000}">
      <text>
        <r>
          <rPr>
            <b/>
            <sz val="9"/>
            <color indexed="81"/>
            <rFont val="Tahoma"/>
            <family val="2"/>
            <charset val="238"/>
          </rPr>
          <t>Maximálna nameraná teplota rosného bodu počas mesiaca</t>
        </r>
      </text>
    </comment>
    <comment ref="K2" authorId="0" shapeId="0" xr:uid="{00000000-0006-0000-0200-00000B000000}">
      <text>
        <r>
          <rPr>
            <b/>
            <sz val="9"/>
            <color indexed="81"/>
            <rFont val="Tahoma"/>
            <family val="2"/>
            <charset val="238"/>
          </rPr>
          <t>Minimálna nameraná teplota rosného bodu počas mesiaca</t>
        </r>
      </text>
    </comment>
    <comment ref="L2" authorId="0" shapeId="0" xr:uid="{00000000-0006-0000-0200-00000C000000}">
      <text>
        <r>
          <rPr>
            <b/>
            <sz val="9"/>
            <color indexed="81"/>
            <rFont val="Tahoma"/>
            <family val="2"/>
            <charset val="238"/>
          </rPr>
          <t>Priemerná teplota rosného bodu (priemer údajov zapísaných v intervale 5 minút)</t>
        </r>
      </text>
    </comment>
    <comment ref="M2" authorId="0" shapeId="0" xr:uid="{00000000-0006-0000-0200-00000D000000}">
      <text>
        <r>
          <rPr>
            <b/>
            <sz val="9"/>
            <color indexed="81"/>
            <rFont val="Tahoma"/>
            <family val="2"/>
            <charset val="238"/>
          </rPr>
          <t>Najvyššia vlhkosť vzduchu</t>
        </r>
      </text>
    </comment>
    <comment ref="O2" authorId="0" shapeId="0" xr:uid="{00000000-0006-0000-0200-00000E000000}">
      <text>
        <r>
          <rPr>
            <b/>
            <sz val="9"/>
            <color indexed="81"/>
            <rFont val="Tahoma"/>
            <family val="2"/>
            <charset val="238"/>
          </rPr>
          <t>Najnižšia vlhkosť vzduchu</t>
        </r>
        <r>
          <rPr>
            <sz val="9"/>
            <color indexed="81"/>
            <rFont val="Tahoma"/>
            <family val="2"/>
            <charset val="238"/>
          </rPr>
          <t xml:space="preserve">
</t>
        </r>
      </text>
    </comment>
    <comment ref="P2" authorId="0" shapeId="0" xr:uid="{00000000-0006-0000-0200-00000F000000}">
      <text>
        <r>
          <rPr>
            <b/>
            <sz val="9"/>
            <color indexed="81"/>
            <rFont val="Tahoma"/>
            <family val="2"/>
            <charset val="238"/>
          </rPr>
          <t>priemerná vlhkosť vzduchu</t>
        </r>
      </text>
    </comment>
    <comment ref="S2" authorId="0" shapeId="0" xr:uid="{00000000-0006-0000-0200-000010000000}">
      <text>
        <r>
          <rPr>
            <b/>
            <sz val="9"/>
            <color indexed="81"/>
            <rFont val="Tahoma"/>
            <family val="2"/>
            <charset val="238"/>
          </rPr>
          <t>Najvyššia hodnota tlaku vzduchu</t>
        </r>
        <r>
          <rPr>
            <sz val="9"/>
            <color indexed="81"/>
            <rFont val="Tahoma"/>
            <family val="2"/>
            <charset val="238"/>
          </rPr>
          <t xml:space="preserve">
</t>
        </r>
      </text>
    </comment>
    <comment ref="T2" authorId="0" shapeId="0" xr:uid="{00000000-0006-0000-0200-000011000000}">
      <text>
        <r>
          <rPr>
            <b/>
            <sz val="9"/>
            <color indexed="81"/>
            <rFont val="Tahoma"/>
            <family val="2"/>
            <charset val="238"/>
          </rPr>
          <t>Najnižšia hodnota tlaku vzduchu</t>
        </r>
      </text>
    </comment>
    <comment ref="U2" authorId="0" shapeId="0" xr:uid="{00000000-0006-0000-0200-000012000000}">
      <text>
        <r>
          <rPr>
            <b/>
            <sz val="9"/>
            <color indexed="81"/>
            <rFont val="Tahoma"/>
            <family val="2"/>
            <charset val="238"/>
          </rPr>
          <t>Priemerná hodnota tlaku vzduchu</t>
        </r>
        <r>
          <rPr>
            <sz val="9"/>
            <color indexed="81"/>
            <rFont val="Tahoma"/>
            <family val="2"/>
            <charset val="238"/>
          </rPr>
          <t xml:space="preserve">
</t>
        </r>
      </text>
    </comment>
    <comment ref="V2" authorId="0" shapeId="0" xr:uid="{00000000-0006-0000-0200-000013000000}">
      <text>
        <r>
          <rPr>
            <b/>
            <sz val="9"/>
            <color indexed="81"/>
            <rFont val="Tahoma"/>
            <family val="2"/>
            <charset val="238"/>
          </rPr>
          <t>Najvyšší zaznamenaný náraz vetra</t>
        </r>
        <r>
          <rPr>
            <sz val="9"/>
            <color indexed="81"/>
            <rFont val="Tahoma"/>
            <family val="2"/>
            <charset val="238"/>
          </rPr>
          <t xml:space="preserve">
</t>
        </r>
      </text>
    </comment>
    <comment ref="W2" authorId="1" shapeId="0" xr:uid="{00000000-0006-0000-0200-000014000000}">
      <text>
        <r>
          <rPr>
            <b/>
            <sz val="9"/>
            <color indexed="81"/>
            <rFont val="Tahoma"/>
            <family val="2"/>
            <charset val="238"/>
          </rPr>
          <t>Najvyššia rýchlosť vetra (10 minútový priemer).</t>
        </r>
        <r>
          <rPr>
            <sz val="9"/>
            <color indexed="81"/>
            <rFont val="Tahoma"/>
            <family val="2"/>
            <charset val="238"/>
          </rPr>
          <t xml:space="preserve">
</t>
        </r>
      </text>
    </comment>
    <comment ref="X2" authorId="0" shapeId="0" xr:uid="{00000000-0006-0000-0200-000015000000}">
      <text>
        <r>
          <rPr>
            <b/>
            <sz val="9"/>
            <color indexed="81"/>
            <rFont val="Tahoma"/>
            <family val="2"/>
            <charset val="238"/>
          </rPr>
          <t>Priemerná rýchlosť vetra</t>
        </r>
        <r>
          <rPr>
            <sz val="9"/>
            <color indexed="81"/>
            <rFont val="Tahoma"/>
            <family val="2"/>
            <charset val="238"/>
          </rPr>
          <t xml:space="preserve">
</t>
        </r>
      </text>
    </comment>
    <comment ref="Y2" authorId="0" shapeId="0" xr:uid="{00000000-0006-0000-0200-000016000000}">
      <text>
        <r>
          <rPr>
            <b/>
            <sz val="9"/>
            <color indexed="81"/>
            <rFont val="Tahoma"/>
            <family val="2"/>
            <charset val="238"/>
          </rPr>
          <t xml:space="preserve">Najvyššia priemerná rýchlosť vetra behom 24 hod
</t>
        </r>
        <r>
          <rPr>
            <sz val="9"/>
            <color indexed="81"/>
            <rFont val="Tahoma"/>
            <family val="2"/>
            <charset val="238"/>
          </rPr>
          <t xml:space="preserve">
</t>
        </r>
      </text>
    </comment>
    <comment ref="Z2" authorId="0" shapeId="0" xr:uid="{00000000-0006-0000-0200-000017000000}">
      <text>
        <r>
          <rPr>
            <b/>
            <sz val="9"/>
            <color indexed="81"/>
            <rFont val="Tahoma"/>
            <family val="2"/>
            <charset val="238"/>
          </rPr>
          <t xml:space="preserve">Najnižšia priemerná rýchlosť vetra behom 24 hod
</t>
        </r>
        <r>
          <rPr>
            <sz val="9"/>
            <color indexed="81"/>
            <rFont val="Tahoma"/>
            <family val="2"/>
            <charset val="238"/>
          </rPr>
          <t xml:space="preserve">
</t>
        </r>
      </text>
    </comment>
    <comment ref="AA2" authorId="0" shapeId="0" xr:uid="{00000000-0006-0000-0200-000018000000}">
      <text>
        <r>
          <rPr>
            <b/>
            <sz val="9"/>
            <color indexed="81"/>
            <rFont val="Tahoma"/>
            <family val="2"/>
            <charset val="238"/>
          </rPr>
          <t>smer vetra</t>
        </r>
      </text>
    </comment>
    <comment ref="AB2" authorId="0" shapeId="0" xr:uid="{00000000-0006-0000-0200-000019000000}">
      <text>
        <r>
          <rPr>
            <b/>
            <sz val="9"/>
            <color indexed="81"/>
            <rFont val="Tahoma"/>
            <family val="2"/>
            <charset val="238"/>
          </rPr>
          <t>Najvyššia intenzita zrážok</t>
        </r>
        <r>
          <rPr>
            <sz val="9"/>
            <color indexed="81"/>
            <rFont val="Tahoma"/>
            <family val="2"/>
            <charset val="238"/>
          </rPr>
          <t xml:space="preserve">
</t>
        </r>
      </text>
    </comment>
    <comment ref="AC2" authorId="0" shapeId="0" xr:uid="{00000000-0006-0000-0200-00001A000000}">
      <text>
        <r>
          <rPr>
            <b/>
            <sz val="9"/>
            <color indexed="81"/>
            <rFont val="Tahoma"/>
            <family val="2"/>
            <charset val="238"/>
          </rPr>
          <t>najvyšší úhrn zrážok v jeden deň</t>
        </r>
        <r>
          <rPr>
            <sz val="9"/>
            <color indexed="81"/>
            <rFont val="Tahoma"/>
            <family val="2"/>
            <charset val="238"/>
          </rPr>
          <t xml:space="preserve">
</t>
        </r>
      </text>
    </comment>
    <comment ref="AD2" authorId="0" shapeId="0" xr:uid="{00000000-0006-0000-0200-00001B000000}">
      <text>
        <r>
          <rPr>
            <b/>
            <sz val="9"/>
            <color indexed="81"/>
            <rFont val="Tahoma"/>
            <family val="2"/>
            <charset val="238"/>
          </rPr>
          <t>Celkové množstvo zrážok</t>
        </r>
      </text>
    </comment>
    <comment ref="AE2" authorId="0" shapeId="0" xr:uid="{00000000-0006-0000-0200-00001C000000}">
      <text>
        <r>
          <rPr>
            <b/>
            <sz val="9"/>
            <color indexed="81"/>
            <rFont val="Tahoma"/>
            <family val="2"/>
            <charset val="238"/>
          </rPr>
          <t>najväčšie množstvo snehu napadnutého behom 24 hodín</t>
        </r>
        <r>
          <rPr>
            <sz val="9"/>
            <color indexed="81"/>
            <rFont val="Tahoma"/>
            <family val="2"/>
            <charset val="238"/>
          </rPr>
          <t xml:space="preserve">
</t>
        </r>
      </text>
    </comment>
    <comment ref="AF2" authorId="0" shapeId="0" xr:uid="{00000000-0006-0000-0200-00001D000000}">
      <text>
        <r>
          <rPr>
            <b/>
            <sz val="9"/>
            <color indexed="81"/>
            <rFont val="Tahoma"/>
            <family val="2"/>
            <charset val="238"/>
          </rPr>
          <t>Najväčšia výška snehovej pokrývky</t>
        </r>
        <r>
          <rPr>
            <sz val="9"/>
            <color indexed="81"/>
            <rFont val="Tahoma"/>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Peter Fedor</author>
    <author>Tomáš Fedor</author>
  </authors>
  <commentList>
    <comment ref="B2" authorId="0" shapeId="0" xr:uid="{00000000-0006-0000-0300-000001000000}">
      <text>
        <r>
          <rPr>
            <b/>
            <sz val="9"/>
            <color indexed="81"/>
            <rFont val="Tahoma"/>
            <family val="2"/>
            <charset val="238"/>
          </rPr>
          <t>deň s výskytom teplotného maxima nižšieho ako -10°C.</t>
        </r>
      </text>
    </comment>
    <comment ref="C2" authorId="0" shapeId="0" xr:uid="{00000000-0006-0000-0300-000002000000}">
      <text>
        <r>
          <rPr>
            <b/>
            <sz val="9"/>
            <color indexed="81"/>
            <rFont val="Tahoma"/>
            <family val="2"/>
            <charset val="238"/>
          </rPr>
          <t>deň s výskytom najvyššej teploty vzduchu nižšej ako 0°C (celodenný mráz).</t>
        </r>
      </text>
    </comment>
    <comment ref="D2" authorId="0" shapeId="0" xr:uid="{00000000-0006-0000-0300-000003000000}">
      <text>
        <r>
          <rPr>
            <b/>
            <sz val="9"/>
            <color indexed="81"/>
            <rFont val="Tahoma"/>
            <family val="2"/>
            <charset val="238"/>
          </rPr>
          <t>deň s výskytom teploty nižšej ako 0 °C.</t>
        </r>
        <r>
          <rPr>
            <sz val="9"/>
            <color indexed="81"/>
            <rFont val="Tahoma"/>
            <family val="2"/>
            <charset val="238"/>
          </rPr>
          <t xml:space="preserve">
</t>
        </r>
      </text>
    </comment>
    <comment ref="E2" authorId="0" shapeId="0" xr:uid="{00000000-0006-0000-0300-000004000000}">
      <text>
        <r>
          <rPr>
            <b/>
            <sz val="9"/>
            <color indexed="81"/>
            <rFont val="Tahoma"/>
            <family val="2"/>
            <charset val="238"/>
          </rPr>
          <t>deň s najvyššou teplotou vzduchu presahujúcou 25°C.</t>
        </r>
        <r>
          <rPr>
            <sz val="9"/>
            <color indexed="81"/>
            <rFont val="Tahoma"/>
            <family val="2"/>
            <charset val="238"/>
          </rPr>
          <t xml:space="preserve">
</t>
        </r>
      </text>
    </comment>
    <comment ref="F2" authorId="0" shapeId="0" xr:uid="{00000000-0006-0000-0300-000005000000}">
      <text>
        <r>
          <rPr>
            <b/>
            <sz val="9"/>
            <color indexed="81"/>
            <rFont val="Tahoma"/>
            <family val="2"/>
            <charset val="238"/>
          </rPr>
          <t>deň s najvyššou teplotou vzduchu presahujúcou 30°C.</t>
        </r>
        <r>
          <rPr>
            <sz val="9"/>
            <color indexed="81"/>
            <rFont val="Tahoma"/>
            <family val="2"/>
            <charset val="238"/>
          </rPr>
          <t xml:space="preserve">
</t>
        </r>
      </text>
    </comment>
    <comment ref="G2" authorId="0" shapeId="0" xr:uid="{00000000-0006-0000-0300-000006000000}">
      <text>
        <r>
          <rPr>
            <b/>
            <sz val="9"/>
            <color indexed="81"/>
            <rFont val="Tahoma"/>
            <family val="2"/>
            <charset val="238"/>
          </rPr>
          <t>noc, počas ktorej najnižšia teplota vzduchu presiahne 20 °C.</t>
        </r>
        <r>
          <rPr>
            <sz val="9"/>
            <color indexed="81"/>
            <rFont val="Tahoma"/>
            <family val="2"/>
            <charset val="238"/>
          </rPr>
          <t xml:space="preserve">
</t>
        </r>
      </text>
    </comment>
    <comment ref="H2" authorId="0" shapeId="0" xr:uid="{00000000-0006-0000-0300-000007000000}">
      <text>
        <r>
          <rPr>
            <b/>
            <sz val="9"/>
            <color indexed="81"/>
            <rFont val="Tahoma"/>
            <family val="2"/>
            <charset val="238"/>
          </rPr>
          <t>Búrkové dni (počuteľný hrom)</t>
        </r>
      </text>
    </comment>
    <comment ref="I2" authorId="0" shapeId="0" xr:uid="{00000000-0006-0000-0300-000008000000}">
      <text>
        <r>
          <rPr>
            <b/>
            <sz val="9"/>
            <color indexed="81"/>
            <rFont val="Tahoma"/>
            <family val="2"/>
            <charset val="238"/>
          </rPr>
          <t>búrka vzdialená menej ako 3 km od pozorovacieho miesta</t>
        </r>
        <r>
          <rPr>
            <sz val="9"/>
            <color indexed="81"/>
            <rFont val="Tahoma"/>
            <family val="2"/>
            <charset val="238"/>
          </rPr>
          <t xml:space="preserve">
</t>
        </r>
      </text>
    </comment>
    <comment ref="J2" authorId="0" shapeId="0" xr:uid="{00000000-0006-0000-0300-000009000000}">
      <text>
        <r>
          <rPr>
            <b/>
            <sz val="9"/>
            <color indexed="81"/>
            <rFont val="Tahoma"/>
            <family val="2"/>
            <charset val="238"/>
          </rPr>
          <t>búrky vzdielené 3-5 km od pozorovacieho miesta</t>
        </r>
        <r>
          <rPr>
            <sz val="9"/>
            <color indexed="81"/>
            <rFont val="Tahoma"/>
            <family val="2"/>
            <charset val="238"/>
          </rPr>
          <t xml:space="preserve">
</t>
        </r>
      </text>
    </comment>
    <comment ref="K2" authorId="0" shapeId="0" xr:uid="{00000000-0006-0000-0300-00000A000000}">
      <text>
        <r>
          <rPr>
            <b/>
            <sz val="9"/>
            <color indexed="81"/>
            <rFont val="Tahoma"/>
            <family val="2"/>
            <charset val="238"/>
          </rPr>
          <t>búrky vzdielené 5-15 km od pozorovacieho miesta</t>
        </r>
        <r>
          <rPr>
            <sz val="9"/>
            <color indexed="81"/>
            <rFont val="Tahoma"/>
            <family val="2"/>
            <charset val="238"/>
          </rPr>
          <t xml:space="preserve">
</t>
        </r>
      </text>
    </comment>
    <comment ref="L2" authorId="0" shapeId="0" xr:uid="{00000000-0006-0000-0300-00000B000000}">
      <text>
        <r>
          <rPr>
            <b/>
            <sz val="9"/>
            <color indexed="81"/>
            <rFont val="Tahoma"/>
            <family val="2"/>
            <charset val="238"/>
          </rPr>
          <t>všetky búrky</t>
        </r>
      </text>
    </comment>
    <comment ref="M2" authorId="1" shapeId="0" xr:uid="{00000000-0006-0000-0300-00000C000000}">
      <text>
        <r>
          <rPr>
            <b/>
            <sz val="9"/>
            <color indexed="81"/>
            <rFont val="Tahoma"/>
            <family val="2"/>
            <charset val="238"/>
          </rPr>
          <t>Dohľadnosť 1-10 km vplyvom rozptýlených tuhých častíc v ovzduší. Relatívna vlhkosť je nižšia ako 70%</t>
        </r>
        <r>
          <rPr>
            <sz val="9"/>
            <color indexed="81"/>
            <rFont val="Tahoma"/>
            <family val="2"/>
            <charset val="238"/>
          </rPr>
          <t xml:space="preserve">
</t>
        </r>
      </text>
    </comment>
    <comment ref="N2" authorId="1" shapeId="0" xr:uid="{00000000-0006-0000-0300-00000D000000}">
      <text>
        <r>
          <rPr>
            <b/>
            <sz val="9"/>
            <color indexed="81"/>
            <rFont val="Tahoma"/>
            <family val="2"/>
            <charset val="238"/>
          </rPr>
          <t>Dohľadnosť 1-10 km vplyvom rozptýlených častíc vodnej pary. Relatívna vlhkosť je vyššia ako 70%</t>
        </r>
      </text>
    </comment>
    <comment ref="O2" authorId="0" shapeId="0" xr:uid="{00000000-0006-0000-0300-00000E000000}">
      <text>
        <r>
          <rPr>
            <b/>
            <sz val="9"/>
            <color indexed="81"/>
            <rFont val="Tahoma"/>
            <family val="2"/>
            <charset val="238"/>
          </rPr>
          <t>Deň s dohľadnosťou nižšou ako 1 km.</t>
        </r>
      </text>
    </comment>
    <comment ref="P2" authorId="0" shapeId="0" xr:uid="{00000000-0006-0000-0300-00000F000000}">
      <text>
        <r>
          <rPr>
            <b/>
            <sz val="9"/>
            <color indexed="81"/>
            <rFont val="Tahoma"/>
            <family val="2"/>
            <charset val="238"/>
          </rPr>
          <t>6 hod nepretržitý slnečný svit</t>
        </r>
      </text>
    </comment>
    <comment ref="Q2" authorId="0" shapeId="0" xr:uid="{00000000-0006-0000-0300-000010000000}">
      <text>
        <r>
          <rPr>
            <b/>
            <sz val="9"/>
            <color indexed="81"/>
            <rFont val="Tahoma"/>
            <family val="2"/>
            <charset val="238"/>
          </rPr>
          <t>( 0/8 pokrytie oblohy oblačnosťou)</t>
        </r>
        <r>
          <rPr>
            <sz val="9"/>
            <color indexed="81"/>
            <rFont val="Tahoma"/>
            <family val="2"/>
            <charset val="238"/>
          </rPr>
          <t xml:space="preserve">
</t>
        </r>
      </text>
    </comment>
    <comment ref="R2" authorId="0" shapeId="0" xr:uid="{00000000-0006-0000-0300-000011000000}">
      <text>
        <r>
          <rPr>
            <b/>
            <sz val="9"/>
            <color indexed="81"/>
            <rFont val="Tahoma"/>
            <family val="2"/>
            <charset val="238"/>
          </rPr>
          <t>Deň so zamračenou oblohou (8/8 pokrytie oblohy oblačnosťou)</t>
        </r>
        <r>
          <rPr>
            <sz val="9"/>
            <color indexed="81"/>
            <rFont val="Tahoma"/>
            <family val="2"/>
            <charset val="238"/>
          </rPr>
          <t xml:space="preserve">
</t>
        </r>
      </text>
    </comment>
    <comment ref="S2" authorId="0" shapeId="0" xr:uid="{00000000-0006-0000-0300-000012000000}">
      <text>
        <r>
          <rPr>
            <b/>
            <sz val="9"/>
            <color indexed="81"/>
            <rFont val="Tahoma"/>
            <family val="2"/>
            <charset val="238"/>
          </rPr>
          <t>výskyt akéhokoľvek typu zrážok v daný deň</t>
        </r>
      </text>
    </comment>
    <comment ref="T2" authorId="0" shapeId="0" xr:uid="{00000000-0006-0000-0300-000013000000}">
      <text>
        <r>
          <rPr>
            <b/>
            <sz val="9"/>
            <color indexed="81"/>
            <rFont val="Tahoma"/>
            <family val="2"/>
            <charset val="238"/>
          </rPr>
          <t>nemerateľné (malé) množstvo zrážok (&lt;0.1 mm)</t>
        </r>
        <r>
          <rPr>
            <sz val="9"/>
            <color indexed="81"/>
            <rFont val="Tahoma"/>
            <family val="2"/>
            <charset val="238"/>
          </rPr>
          <t xml:space="preserve">
</t>
        </r>
      </text>
    </comment>
    <comment ref="U2" authorId="0" shapeId="0" xr:uid="{00000000-0006-0000-0300-000014000000}">
      <text>
        <r>
          <rPr>
            <b/>
            <sz val="9"/>
            <color indexed="81"/>
            <rFont val="Tahoma"/>
            <family val="2"/>
            <charset val="238"/>
          </rPr>
          <t>merateľné zrážky</t>
        </r>
        <r>
          <rPr>
            <sz val="9"/>
            <color indexed="81"/>
            <rFont val="Tahoma"/>
            <family val="2"/>
            <charset val="238"/>
          </rPr>
          <t xml:space="preserve">
</t>
        </r>
      </text>
    </comment>
    <comment ref="V2" authorId="0" shapeId="0" xr:uid="{00000000-0006-0000-0300-000015000000}">
      <text>
        <r>
          <rPr>
            <b/>
            <sz val="9"/>
            <color indexed="81"/>
            <rFont val="Tahoma"/>
            <family val="2"/>
            <charset val="238"/>
          </rPr>
          <t>výskyt kvapalných zrážok v daný deň</t>
        </r>
        <r>
          <rPr>
            <sz val="9"/>
            <color indexed="81"/>
            <rFont val="Tahoma"/>
            <family val="2"/>
            <charset val="238"/>
          </rPr>
          <t xml:space="preserve">
</t>
        </r>
      </text>
    </comment>
    <comment ref="W2" authorId="0" shapeId="0" xr:uid="{00000000-0006-0000-0300-000016000000}">
      <text>
        <r>
          <rPr>
            <b/>
            <sz val="9"/>
            <color indexed="81"/>
            <rFont val="Tahoma"/>
            <family val="2"/>
            <charset val="238"/>
          </rPr>
          <t>výskyt krupobita - Ľadové zrážky s priemerom nad 5 mm</t>
        </r>
        <r>
          <rPr>
            <sz val="9"/>
            <color indexed="81"/>
            <rFont val="Tahoma"/>
            <family val="2"/>
            <charset val="238"/>
          </rPr>
          <t xml:space="preserve">
</t>
        </r>
      </text>
    </comment>
    <comment ref="X2" authorId="0" shapeId="0" xr:uid="{00000000-0006-0000-0300-000017000000}">
      <text>
        <r>
          <rPr>
            <b/>
            <sz val="9"/>
            <color indexed="81"/>
            <rFont val="Tahoma"/>
            <family val="2"/>
            <charset val="238"/>
          </rPr>
          <t>výskyt sneženia, zmrznutého dažďa alebo snehových zŕn v daný deň</t>
        </r>
        <r>
          <rPr>
            <sz val="9"/>
            <color indexed="81"/>
            <rFont val="Tahoma"/>
            <family val="2"/>
            <charset val="238"/>
          </rPr>
          <t xml:space="preserve">
</t>
        </r>
      </text>
    </comment>
    <comment ref="Y2" authorId="1" shapeId="0" xr:uid="{00000000-0006-0000-0300-000018000000}">
      <text>
        <r>
          <rPr>
            <b/>
            <sz val="9"/>
            <color indexed="81"/>
            <rFont val="Tahoma"/>
            <family val="2"/>
            <charset val="238"/>
          </rPr>
          <t xml:space="preserve">Dni s výskytom merateľných usadených zrážok (rosa, námraza, inoväť)
</t>
        </r>
        <r>
          <rPr>
            <sz val="9"/>
            <color indexed="81"/>
            <rFont val="Tahoma"/>
            <family val="2"/>
            <charset val="238"/>
          </rPr>
          <t xml:space="preserve">
</t>
        </r>
      </text>
    </comment>
    <comment ref="Z2" authorId="1" shapeId="0" xr:uid="{00000000-0006-0000-0300-000019000000}">
      <text>
        <r>
          <rPr>
            <b/>
            <sz val="9"/>
            <color indexed="81"/>
            <rFont val="Tahoma"/>
            <family val="2"/>
            <charset val="238"/>
          </rPr>
          <t>Poprašok, SSP a NSP</t>
        </r>
      </text>
    </comment>
    <comment ref="AA2" authorId="1" shapeId="0" xr:uid="{00000000-0006-0000-0300-00001A000000}">
      <text>
        <r>
          <rPr>
            <b/>
            <sz val="9"/>
            <color indexed="81"/>
            <rFont val="Tahoma"/>
            <family val="2"/>
            <charset val="238"/>
          </rPr>
          <t>Súvislá snehová pokrývka</t>
        </r>
        <r>
          <rPr>
            <sz val="9"/>
            <color indexed="81"/>
            <rFont val="Tahoma"/>
            <family val="2"/>
            <charset val="238"/>
          </rPr>
          <t xml:space="preserve">
</t>
        </r>
      </text>
    </comment>
    <comment ref="AB2" authorId="1" shapeId="0" xr:uid="{00000000-0006-0000-0300-00001B000000}">
      <text>
        <r>
          <rPr>
            <b/>
            <sz val="9"/>
            <color indexed="81"/>
            <rFont val="Tahoma"/>
            <family val="2"/>
            <charset val="238"/>
          </rPr>
          <t>Nesúvislá snehová pokrývka
- menej ako 1/2 plochy v okolí pozorovacieho miesta pokrytá snehom.</t>
        </r>
        <r>
          <rPr>
            <sz val="9"/>
            <color indexed="81"/>
            <rFont val="Tahoma"/>
            <family val="2"/>
            <charset val="238"/>
          </rPr>
          <t xml:space="preserve">
</t>
        </r>
      </text>
    </comment>
    <comment ref="AC2" authorId="1" shapeId="0" xr:uid="{00000000-0006-0000-0300-00001C000000}">
      <text>
        <r>
          <rPr>
            <b/>
            <sz val="9"/>
            <color indexed="81"/>
            <rFont val="Tahoma"/>
            <family val="2"/>
            <charset val="238"/>
          </rPr>
          <t>Snehová pokrývka nižšia ako 0.5 cm</t>
        </r>
        <r>
          <rPr>
            <sz val="9"/>
            <color indexed="81"/>
            <rFont val="Tahoma"/>
            <family val="2"/>
            <charset val="238"/>
          </rPr>
          <t xml:space="preserve">
</t>
        </r>
      </text>
    </comment>
  </commentList>
</comments>
</file>

<file path=xl/sharedStrings.xml><?xml version="1.0" encoding="utf-8"?>
<sst xmlns="http://schemas.openxmlformats.org/spreadsheetml/2006/main" count="1781" uniqueCount="554">
  <si>
    <t>Dátum</t>
  </si>
  <si>
    <t>Mesiac</t>
  </si>
  <si>
    <t>Teplota vzduchu</t>
  </si>
  <si>
    <r>
      <t>T</t>
    </r>
    <r>
      <rPr>
        <sz val="8"/>
        <color theme="1"/>
        <rFont val="Calibri"/>
        <family val="2"/>
        <charset val="238"/>
        <scheme val="minor"/>
      </rPr>
      <t>max</t>
    </r>
  </si>
  <si>
    <r>
      <t>T</t>
    </r>
    <r>
      <rPr>
        <sz val="8"/>
        <color theme="1"/>
        <rFont val="Calibri"/>
        <family val="2"/>
        <charset val="238"/>
        <scheme val="minor"/>
      </rPr>
      <t>min</t>
    </r>
  </si>
  <si>
    <t>Rosný bod</t>
  </si>
  <si>
    <r>
      <t>T</t>
    </r>
    <r>
      <rPr>
        <sz val="8"/>
        <color theme="1"/>
        <rFont val="Calibri"/>
        <family val="2"/>
        <charset val="238"/>
        <scheme val="minor"/>
      </rPr>
      <t>pr.</t>
    </r>
  </si>
  <si>
    <t>Tlak vzduchu</t>
  </si>
  <si>
    <r>
      <t>P</t>
    </r>
    <r>
      <rPr>
        <sz val="8"/>
        <color theme="1"/>
        <rFont val="Calibri"/>
        <family val="2"/>
        <charset val="238"/>
        <scheme val="minor"/>
      </rPr>
      <t>max</t>
    </r>
  </si>
  <si>
    <r>
      <t>P</t>
    </r>
    <r>
      <rPr>
        <sz val="8"/>
        <color theme="1"/>
        <rFont val="Calibri"/>
        <family val="2"/>
        <charset val="238"/>
        <scheme val="minor"/>
      </rPr>
      <t>min</t>
    </r>
  </si>
  <si>
    <t>Vietor</t>
  </si>
  <si>
    <t>max náraz</t>
  </si>
  <si>
    <t>pr. Rýchlosť</t>
  </si>
  <si>
    <t>pr. Smer</t>
  </si>
  <si>
    <t>Zrážky</t>
  </si>
  <si>
    <t>typ</t>
  </si>
  <si>
    <t>intenzita</t>
  </si>
  <si>
    <t>množstvo</t>
  </si>
  <si>
    <t>sneh. Pokrývka</t>
  </si>
  <si>
    <t>Oblačnosť, ostatné javy</t>
  </si>
  <si>
    <r>
      <t>Td</t>
    </r>
    <r>
      <rPr>
        <sz val="8"/>
        <color theme="1"/>
        <rFont val="Calibri"/>
        <family val="2"/>
        <charset val="238"/>
        <scheme val="minor"/>
      </rPr>
      <t>max</t>
    </r>
  </si>
  <si>
    <r>
      <t>Td</t>
    </r>
    <r>
      <rPr>
        <sz val="8"/>
        <color theme="1"/>
        <rFont val="Calibri"/>
        <family val="2"/>
        <charset val="238"/>
        <scheme val="minor"/>
      </rPr>
      <t>min</t>
    </r>
  </si>
  <si>
    <t>max. intenzita</t>
  </si>
  <si>
    <t>Január</t>
  </si>
  <si>
    <t>Február</t>
  </si>
  <si>
    <t>Marec</t>
  </si>
  <si>
    <t>Apríl</t>
  </si>
  <si>
    <t>Máj</t>
  </si>
  <si>
    <t>Jún</t>
  </si>
  <si>
    <t>Júl</t>
  </si>
  <si>
    <t>August</t>
  </si>
  <si>
    <t>September</t>
  </si>
  <si>
    <t>Október</t>
  </si>
  <si>
    <t>November</t>
  </si>
  <si>
    <t>December</t>
  </si>
  <si>
    <t>Vlhkosť vzduchu</t>
  </si>
  <si>
    <t>Vlhkosť</t>
  </si>
  <si>
    <r>
      <rPr>
        <sz val="11"/>
        <color theme="1"/>
        <rFont val="Calibri"/>
        <family val="2"/>
        <charset val="238"/>
        <scheme val="minor"/>
      </rPr>
      <t>H</t>
    </r>
    <r>
      <rPr>
        <sz val="8"/>
        <color theme="1"/>
        <rFont val="Calibri"/>
        <family val="2"/>
        <charset val="238"/>
        <scheme val="minor"/>
      </rPr>
      <t>min.</t>
    </r>
  </si>
  <si>
    <r>
      <rPr>
        <sz val="11"/>
        <color theme="1"/>
        <rFont val="Calibri"/>
        <family val="2"/>
        <charset val="238"/>
        <scheme val="minor"/>
      </rPr>
      <t>H</t>
    </r>
    <r>
      <rPr>
        <sz val="8"/>
        <color theme="1"/>
        <rFont val="Calibri"/>
        <family val="2"/>
        <charset val="238"/>
        <scheme val="minor"/>
      </rPr>
      <t>max.</t>
    </r>
  </si>
  <si>
    <r>
      <t>H</t>
    </r>
    <r>
      <rPr>
        <sz val="8"/>
        <color theme="1"/>
        <rFont val="Calibri"/>
        <family val="2"/>
        <charset val="238"/>
        <scheme val="minor"/>
      </rPr>
      <t>min</t>
    </r>
  </si>
  <si>
    <r>
      <t>H</t>
    </r>
    <r>
      <rPr>
        <sz val="8"/>
        <color theme="1"/>
        <rFont val="Calibri"/>
        <family val="2"/>
        <charset val="238"/>
        <scheme val="minor"/>
      </rPr>
      <t>max</t>
    </r>
  </si>
  <si>
    <t>priem. Rýchlosť</t>
  </si>
  <si>
    <t>krúpy</t>
  </si>
  <si>
    <t>max pr. Rýchlosť</t>
  </si>
  <si>
    <t>max rýchlosť</t>
  </si>
  <si>
    <t>10 m/s &lt;=&gt; 15 m/s</t>
  </si>
  <si>
    <t>15 m/s &lt;=&gt; 20 m/s</t>
  </si>
  <si>
    <t>20 m/s &lt;=&gt; 25 m/s</t>
  </si>
  <si>
    <t>0 m/s &lt;=&gt; 5 m/s</t>
  </si>
  <si>
    <t>zrážky:</t>
  </si>
  <si>
    <t>intenzita:</t>
  </si>
  <si>
    <t>0 mm &lt;=&gt; 5 mm</t>
  </si>
  <si>
    <t>5 mm &lt;=&gt; 10 mm</t>
  </si>
  <si>
    <t>10 mm &lt;=&gt; 15 mm</t>
  </si>
  <si>
    <t>15 mm &lt;=&gt; 30 mm</t>
  </si>
  <si>
    <t>30 mm &lt;=&gt; 45 mm</t>
  </si>
  <si>
    <t>45 mm &lt;=&gt; 60 mm</t>
  </si>
  <si>
    <t>60 mm &lt;=&gt; 80 mm</t>
  </si>
  <si>
    <t>80 mm &lt;</t>
  </si>
  <si>
    <t>0 mm/h &lt;=&gt; 5 mm/h</t>
  </si>
  <si>
    <t>5 mm/h &lt;=&gt; 15 mm/h</t>
  </si>
  <si>
    <t>15 mm/h &lt;=&gt; 30 mm/h</t>
  </si>
  <si>
    <t>30 mm/h &lt;=&gt; 50 mm/h</t>
  </si>
  <si>
    <t>0 cm &lt;=&gt; 1 cm</t>
  </si>
  <si>
    <t>1cm &lt;=&gt; 3cm</t>
  </si>
  <si>
    <t>3 cm &lt;=&gt; 5 cm</t>
  </si>
  <si>
    <t>10 cm &lt;=&gt; 15 cm</t>
  </si>
  <si>
    <t>15 cm &lt;=&gt; 20 cm</t>
  </si>
  <si>
    <t>20 cm &lt;=&gt; 30 cm</t>
  </si>
  <si>
    <t>30 cm &lt;</t>
  </si>
  <si>
    <t>sneh:</t>
  </si>
  <si>
    <t>krúpy:</t>
  </si>
  <si>
    <t>15 mm &lt;=&gt; 20 mm</t>
  </si>
  <si>
    <t>20 mm &lt;=&gt; 30 mm</t>
  </si>
  <si>
    <t>40 mm &lt;=&gt; 50 mm</t>
  </si>
  <si>
    <t>30 mm &lt;=&gt;  40 mm</t>
  </si>
  <si>
    <t>50 mm &lt;</t>
  </si>
  <si>
    <t>Vysvetlivky:</t>
  </si>
  <si>
    <t>0 mm</t>
  </si>
  <si>
    <t>0 mm/h</t>
  </si>
  <si>
    <t>0 cm</t>
  </si>
  <si>
    <t>150 mm/h &lt;</t>
  </si>
  <si>
    <t>50 mm/h &lt;=&gt; 90 mm/h</t>
  </si>
  <si>
    <t>90 mm/h &lt;=&gt; 150 mm/h</t>
  </si>
  <si>
    <r>
      <t>P</t>
    </r>
    <r>
      <rPr>
        <sz val="8"/>
        <color theme="1"/>
        <rFont val="Calibri"/>
        <family val="2"/>
        <charset val="238"/>
        <scheme val="minor"/>
      </rPr>
      <t>pr. (5 min)</t>
    </r>
  </si>
  <si>
    <r>
      <t>H</t>
    </r>
    <r>
      <rPr>
        <sz val="8"/>
        <color theme="1"/>
        <rFont val="Calibri"/>
        <family val="2"/>
        <charset val="238"/>
        <scheme val="minor"/>
      </rPr>
      <t>pr.5min</t>
    </r>
  </si>
  <si>
    <r>
      <t>T</t>
    </r>
    <r>
      <rPr>
        <sz val="8"/>
        <color theme="1"/>
        <rFont val="Calibri"/>
        <family val="2"/>
        <charset val="238"/>
        <scheme val="minor"/>
      </rPr>
      <t>dpr.5min</t>
    </r>
  </si>
  <si>
    <r>
      <rPr>
        <sz val="11"/>
        <color theme="1"/>
        <rFont val="Calibri"/>
        <family val="2"/>
        <charset val="238"/>
        <scheme val="minor"/>
      </rPr>
      <t>H</t>
    </r>
    <r>
      <rPr>
        <sz val="8"/>
        <color theme="1"/>
        <rFont val="Calibri"/>
        <family val="2"/>
        <charset val="238"/>
        <scheme val="minor"/>
      </rPr>
      <t>pr. 5 min</t>
    </r>
  </si>
  <si>
    <r>
      <t>Td</t>
    </r>
    <r>
      <rPr>
        <sz val="10"/>
        <color theme="1"/>
        <rFont val="Calibri"/>
        <family val="2"/>
        <charset val="238"/>
        <scheme val="minor"/>
      </rPr>
      <t>pr</t>
    </r>
    <r>
      <rPr>
        <sz val="11"/>
        <color theme="1"/>
        <rFont val="Calibri"/>
        <family val="2"/>
        <charset val="238"/>
        <scheme val="minor"/>
      </rPr>
      <t xml:space="preserve">. </t>
    </r>
    <r>
      <rPr>
        <sz val="8"/>
        <color theme="1"/>
        <rFont val="Calibri"/>
        <family val="2"/>
        <charset val="238"/>
        <scheme val="minor"/>
      </rPr>
      <t>5 min</t>
    </r>
  </si>
  <si>
    <r>
      <t>P</t>
    </r>
    <r>
      <rPr>
        <sz val="8"/>
        <color theme="1"/>
        <rFont val="Calibri"/>
        <family val="2"/>
        <charset val="238"/>
        <scheme val="minor"/>
      </rPr>
      <t>pr. 5 min</t>
    </r>
  </si>
  <si>
    <r>
      <t>T</t>
    </r>
    <r>
      <rPr>
        <sz val="8"/>
        <color theme="1"/>
        <rFont val="Calibri"/>
        <family val="2"/>
        <charset val="238"/>
        <scheme val="minor"/>
      </rPr>
      <t>pr.1min</t>
    </r>
  </si>
  <si>
    <t>nový sneh</t>
  </si>
  <si>
    <r>
      <t>T</t>
    </r>
    <r>
      <rPr>
        <sz val="8"/>
        <color theme="1"/>
        <rFont val="Calibri"/>
        <family val="2"/>
        <charset val="238"/>
        <scheme val="minor"/>
      </rPr>
      <t>pr. 1 min</t>
    </r>
  </si>
  <si>
    <r>
      <t>T</t>
    </r>
    <r>
      <rPr>
        <sz val="8"/>
        <color theme="1"/>
        <rFont val="Calibri"/>
        <family val="2"/>
        <charset val="238"/>
        <scheme val="minor"/>
      </rPr>
      <t>20:34</t>
    </r>
  </si>
  <si>
    <r>
      <t>T</t>
    </r>
    <r>
      <rPr>
        <sz val="8"/>
        <color theme="1"/>
        <rFont val="Calibri"/>
        <family val="2"/>
        <charset val="238"/>
        <scheme val="minor"/>
      </rPr>
      <t>13:34</t>
    </r>
  </si>
  <si>
    <r>
      <t>T</t>
    </r>
    <r>
      <rPr>
        <sz val="8"/>
        <color theme="1"/>
        <rFont val="Calibri"/>
        <family val="2"/>
        <charset val="238"/>
        <scheme val="minor"/>
      </rPr>
      <t>6:34</t>
    </r>
  </si>
  <si>
    <t>min pr. Rýchlosť</t>
  </si>
  <si>
    <t>Tropické noci</t>
  </si>
  <si>
    <t>Letné dni</t>
  </si>
  <si>
    <t>Tropické dni</t>
  </si>
  <si>
    <t>Mrazové dni</t>
  </si>
  <si>
    <t>Ľadové dni</t>
  </si>
  <si>
    <t>Arktické dni</t>
  </si>
  <si>
    <t>Búrky</t>
  </si>
  <si>
    <t>Rozdelenie dní podľa teploty vzduchu</t>
  </si>
  <si>
    <t>búrky</t>
  </si>
  <si>
    <t>Marec:</t>
  </si>
  <si>
    <t>Apríl:</t>
  </si>
  <si>
    <t>Máj:</t>
  </si>
  <si>
    <t>Február:</t>
  </si>
  <si>
    <t>Január:</t>
  </si>
  <si>
    <t>Júl:</t>
  </si>
  <si>
    <t>Jún:</t>
  </si>
  <si>
    <t>August:</t>
  </si>
  <si>
    <t>September:</t>
  </si>
  <si>
    <t>vzd. búrky</t>
  </si>
  <si>
    <t>blízke búrky</t>
  </si>
  <si>
    <t>priame búrky</t>
  </si>
  <si>
    <r>
      <rPr>
        <sz val="12"/>
        <color theme="1"/>
        <rFont val="Calibri"/>
        <family val="2"/>
        <charset val="238"/>
        <scheme val="minor"/>
      </rPr>
      <t>T</t>
    </r>
    <r>
      <rPr>
        <sz val="8"/>
        <color theme="1"/>
        <rFont val="Calibri"/>
        <family val="2"/>
        <charset val="238"/>
        <scheme val="minor"/>
      </rPr>
      <t>pr.max</t>
    </r>
  </si>
  <si>
    <r>
      <rPr>
        <sz val="11"/>
        <color theme="1"/>
        <rFont val="Calibri"/>
        <family val="2"/>
        <charset val="238"/>
        <scheme val="minor"/>
      </rPr>
      <t>T</t>
    </r>
    <r>
      <rPr>
        <sz val="8"/>
        <color theme="1"/>
        <rFont val="Calibri"/>
        <family val="2"/>
        <charset val="238"/>
        <scheme val="minor"/>
      </rPr>
      <t>pr.min</t>
    </r>
  </si>
  <si>
    <r>
      <rPr>
        <sz val="11"/>
        <color theme="1"/>
        <rFont val="Calibri"/>
        <family val="2"/>
        <charset val="238"/>
        <scheme val="minor"/>
      </rPr>
      <t>H</t>
    </r>
    <r>
      <rPr>
        <sz val="8"/>
        <color theme="1"/>
        <rFont val="Calibri"/>
        <family val="2"/>
        <charset val="238"/>
        <scheme val="minor"/>
      </rPr>
      <t>pr.max</t>
    </r>
  </si>
  <si>
    <r>
      <t>H</t>
    </r>
    <r>
      <rPr>
        <sz val="8"/>
        <color theme="1"/>
        <rFont val="Calibri"/>
        <family val="2"/>
        <charset val="238"/>
        <scheme val="minor"/>
      </rPr>
      <t>pr.min</t>
    </r>
  </si>
  <si>
    <t>max 24h úhrn</t>
  </si>
  <si>
    <t>Čas (UTC)</t>
  </si>
  <si>
    <t>Poveternostná situácia</t>
  </si>
  <si>
    <t>Informácie o búrke</t>
  </si>
  <si>
    <t>Informácie o postupe</t>
  </si>
  <si>
    <t>Hydrometeory</t>
  </si>
  <si>
    <t>Elektrometeory</t>
  </si>
  <si>
    <t>Poznámky</t>
  </si>
  <si>
    <t>Jav</t>
  </si>
  <si>
    <t>Odrazivosť</t>
  </si>
  <si>
    <t>postup</t>
  </si>
  <si>
    <t>smer</t>
  </si>
  <si>
    <t>náraz</t>
  </si>
  <si>
    <t>priemer</t>
  </si>
  <si>
    <t>sneh</t>
  </si>
  <si>
    <t>najbližší úder</t>
  </si>
  <si>
    <t>hrom</t>
  </si>
  <si>
    <t>počuteľný hrom - búrka</t>
  </si>
  <si>
    <t>W - búrkový deň</t>
  </si>
  <si>
    <t>P - priama búrka</t>
  </si>
  <si>
    <t>L - blízka búrka (3-5 km)</t>
  </si>
  <si>
    <t>V - vzdialená búrka (5-15km)</t>
  </si>
  <si>
    <t>D - dážď</t>
  </si>
  <si>
    <t>S - sneženie</t>
  </si>
  <si>
    <t>K - krupobitie</t>
  </si>
  <si>
    <t>Z - zrážky</t>
  </si>
  <si>
    <t>Vietor max:</t>
  </si>
  <si>
    <t>5 m/s &lt;=&gt; 10 m/s</t>
  </si>
  <si>
    <t>25 m/s &lt;=&gt; 30 m/s</t>
  </si>
  <si>
    <t>30 m/s &lt;</t>
  </si>
  <si>
    <t>vietor priemer:</t>
  </si>
  <si>
    <t>0 m/s &lt;=&gt; 2 m/s</t>
  </si>
  <si>
    <t>2 m/s &lt;=&gt; 5 m/s</t>
  </si>
  <si>
    <t>5 m/s &lt;=&gt; 8 m/s</t>
  </si>
  <si>
    <t>8 m/s &lt;=&gt; 11 m/s</t>
  </si>
  <si>
    <t>11 m/s &lt;=&gt; 13 m/s</t>
  </si>
  <si>
    <t>13 m/s &lt;=&gt; 15 m/s</t>
  </si>
  <si>
    <t>15 m/s &lt;</t>
  </si>
  <si>
    <t>5 cm &lt;=&gt; 10 cm</t>
  </si>
  <si>
    <t>Blesky</t>
  </si>
  <si>
    <t>1 &lt;=&gt; 10</t>
  </si>
  <si>
    <t>10 &lt;=&gt; 50</t>
  </si>
  <si>
    <t>50 &lt;=&gt; 350</t>
  </si>
  <si>
    <t>350 &lt;=&gt; 700</t>
  </si>
  <si>
    <t xml:space="preserve">700 &lt;=&gt; 1200 </t>
  </si>
  <si>
    <t>1200 &lt;=&gt; 1800</t>
  </si>
  <si>
    <t>1800 &lt;=&gt; 2500</t>
  </si>
  <si>
    <t>2500 &lt;</t>
  </si>
  <si>
    <t>30-40 dBz</t>
  </si>
  <si>
    <t>40-45 dBz</t>
  </si>
  <si>
    <t>45-50 dBz</t>
  </si>
  <si>
    <t>50-55 dBz</t>
  </si>
  <si>
    <t>55-60 dBz</t>
  </si>
  <si>
    <t>60-63 dBz</t>
  </si>
  <si>
    <t xml:space="preserve">63-65 dBz </t>
  </si>
  <si>
    <t>65 dBz &lt;</t>
  </si>
  <si>
    <t>Dni s búrkou</t>
  </si>
  <si>
    <t>Dni s hmlou</t>
  </si>
  <si>
    <t>Október:</t>
  </si>
  <si>
    <t>November:</t>
  </si>
  <si>
    <t>Dni so snežením</t>
  </si>
  <si>
    <t>Dni s dažďom</t>
  </si>
  <si>
    <t>Dni s merateľnými zrážkami</t>
  </si>
  <si>
    <t>Dni s nemerateľnými zrážkami</t>
  </si>
  <si>
    <t>Dni so zrážkami</t>
  </si>
  <si>
    <t>Dni so zamračenou oblohou</t>
  </si>
  <si>
    <t>December:</t>
  </si>
  <si>
    <t>Dni so snehovou pokrývkou</t>
  </si>
  <si>
    <t>Dni s krupobitím</t>
  </si>
  <si>
    <t>slnečné dni</t>
  </si>
  <si>
    <t>maximálna odrazivosť</t>
  </si>
  <si>
    <t>Dni so SSP</t>
  </si>
  <si>
    <t>Dni s popraškom</t>
  </si>
  <si>
    <t>Dni s NSP</t>
  </si>
  <si>
    <t>Snehová pokrývka</t>
  </si>
  <si>
    <t>prevládajúci smer vetra</t>
  </si>
  <si>
    <t>organizácia</t>
  </si>
  <si>
    <t>Dni s dymnom</t>
  </si>
  <si>
    <t>ΔT</t>
  </si>
  <si>
    <r>
      <t>ΔT</t>
    </r>
    <r>
      <rPr>
        <sz val="8"/>
        <color theme="1"/>
        <rFont val="Calibri"/>
        <family val="2"/>
        <charset val="238"/>
        <scheme val="minor"/>
      </rPr>
      <t>min</t>
    </r>
  </si>
  <si>
    <r>
      <t>ΔT</t>
    </r>
    <r>
      <rPr>
        <sz val="8"/>
        <color theme="1"/>
        <rFont val="Calibri"/>
        <family val="2"/>
        <charset val="238"/>
        <scheme val="minor"/>
      </rPr>
      <t>max</t>
    </r>
  </si>
  <si>
    <t>max 24h sneh</t>
  </si>
  <si>
    <t>Iniciácia</t>
  </si>
  <si>
    <t>Okolnosti vzniku</t>
  </si>
  <si>
    <t>Dni s bezoblačnou oblohou</t>
  </si>
  <si>
    <t>Dohľadnosť a oblačnosť</t>
  </si>
  <si>
    <t>Dni so zákalom</t>
  </si>
  <si>
    <t>7/8</t>
  </si>
  <si>
    <t>Dni s usadenými zrážkami</t>
  </si>
  <si>
    <t>6/8</t>
  </si>
  <si>
    <t>8/8</t>
  </si>
  <si>
    <t>D , Z</t>
  </si>
  <si>
    <t>8/8, dymno</t>
  </si>
  <si>
    <t>D , S , Z</t>
  </si>
  <si>
    <t>S , Z</t>
  </si>
  <si>
    <t>4/8, ráno mrznúca hmla</t>
  </si>
  <si>
    <t>7/8, SSP, ráno diamantový prach</t>
  </si>
  <si>
    <t>7/8, SSP</t>
  </si>
  <si>
    <t>S , N</t>
  </si>
  <si>
    <t>6/8, snehové prehánky, SSP</t>
  </si>
  <si>
    <t>8/8, SSP</t>
  </si>
  <si>
    <t>3/8, slnečný deň, ráno diamantový prach, SSP, zákal</t>
  </si>
  <si>
    <t>D , N</t>
  </si>
  <si>
    <t>8/8, v noci zvírený sneh, SSP</t>
  </si>
  <si>
    <t>8/8, NSP</t>
  </si>
  <si>
    <t>8/8, prehánky</t>
  </si>
  <si>
    <t>6/8, diamantový prach, halové javy, SSP</t>
  </si>
  <si>
    <t>4/8, slnečný deň, SSP</t>
  </si>
  <si>
    <t>8/8, dymno, SSP</t>
  </si>
  <si>
    <t>J</t>
  </si>
  <si>
    <t>JJV</t>
  </si>
  <si>
    <t>VJV</t>
  </si>
  <si>
    <t>JJZ</t>
  </si>
  <si>
    <t>SZ</t>
  </si>
  <si>
    <t>SV</t>
  </si>
  <si>
    <t>SSV</t>
  </si>
  <si>
    <t>SSZ</t>
  </si>
  <si>
    <t>JZ</t>
  </si>
  <si>
    <t>S</t>
  </si>
  <si>
    <t>Z</t>
  </si>
  <si>
    <t>JV</t>
  </si>
  <si>
    <t>ZSZ</t>
  </si>
  <si>
    <t>6/8, SSP</t>
  </si>
  <si>
    <t>7/8, NSP, ráno dymno</t>
  </si>
  <si>
    <t>8/8, ráno dymno, NSP</t>
  </si>
  <si>
    <t>8/8, SSP, mrznúci dážď</t>
  </si>
  <si>
    <t>8/8, mrznúci dážď, ráno dymno, popoludní hmla, poprašok</t>
  </si>
  <si>
    <t>8/8, SSP, dymno</t>
  </si>
  <si>
    <t>8/8, zvírený sneh, SSP</t>
  </si>
  <si>
    <t>5/8, SSP, zvírený sneh, večer snehové prehánky</t>
  </si>
  <si>
    <t>6/8, snehové prehánky, zvirený sneh, SSP</t>
  </si>
  <si>
    <t>6/8, zvírený sneh, SSP</t>
  </si>
  <si>
    <t>4/8, SSP</t>
  </si>
  <si>
    <t>6/8, ráno hmla, SSP</t>
  </si>
  <si>
    <t>S , D , Z</t>
  </si>
  <si>
    <t>S , D , N</t>
  </si>
  <si>
    <t>8/8, SSP, večer hmla</t>
  </si>
  <si>
    <t>8/8, SSP, zamrznutý dážď, zmiešané zrážky</t>
  </si>
  <si>
    <t>5/8, ráno hmla, dymno, slnečný deň, SSP</t>
  </si>
  <si>
    <t>1/8, slnečný deň, SSP</t>
  </si>
  <si>
    <t>U , Z</t>
  </si>
  <si>
    <t>4/8, NSP, ráno hmla</t>
  </si>
  <si>
    <t>5/8, NSP, ráno hmla, zákal</t>
  </si>
  <si>
    <t>D , U , Z</t>
  </si>
  <si>
    <t>7/8, prehánky, NSP</t>
  </si>
  <si>
    <t xml:space="preserve">5/8, NSP </t>
  </si>
  <si>
    <t>VSV</t>
  </si>
  <si>
    <t>2/8, slnečný deň, ráno hmla</t>
  </si>
  <si>
    <t>7/8, ráno hmla</t>
  </si>
  <si>
    <t>5/8, snehové prehánky</t>
  </si>
  <si>
    <t>3/8</t>
  </si>
  <si>
    <t>6/8, snehové prehánky</t>
  </si>
  <si>
    <t>D , S , N</t>
  </si>
  <si>
    <t>13:50-15:15</t>
  </si>
  <si>
    <t>studený front</t>
  </si>
  <si>
    <t>frontálne rozhranie</t>
  </si>
  <si>
    <t>multicela</t>
  </si>
  <si>
    <t>SZ-JV</t>
  </si>
  <si>
    <t>áno</t>
  </si>
  <si>
    <t>Multicelárny zhluk propagujúci sa od severozápadu pozdĺž frontálneho rozhrania. Pri Prešove najväčšia elektrická aktivita a 1,5-2 cm krúpy. Ďalšia elektricky aktívna bunka sa vyskytla východne od pozorovacieho miesta v čase 14:50 UTC. Nad pozorovacím miestom výskyt drobných krúpok, ktoré boli neskôr snehové. V závere pozorovania s príchodom stratiformnej časti slabý dážď.</t>
  </si>
  <si>
    <t>8/8, búrka, krupkové prehánky</t>
  </si>
  <si>
    <t>7/8, popoludní halové javy (HDO)</t>
  </si>
  <si>
    <t>7/8, snehové prehánky, popoludní halové javy (HDO)</t>
  </si>
  <si>
    <t>6/8, snehové prehánky, graupel, poprašok</t>
  </si>
  <si>
    <t>4/8</t>
  </si>
  <si>
    <t>4/8, slnečný deň</t>
  </si>
  <si>
    <t>6/8, poprašok, snehové prehánky</t>
  </si>
  <si>
    <t>5/8, halové javy (22 ° halo, HDO)</t>
  </si>
  <si>
    <t>3/8, večer halové javy (pravé 22 ° parhelium)</t>
  </si>
  <si>
    <t>5/8</t>
  </si>
  <si>
    <t>13:00-14:00</t>
  </si>
  <si>
    <t>teplý sektor</t>
  </si>
  <si>
    <t>orografia</t>
  </si>
  <si>
    <t>W , L , D , Z</t>
  </si>
  <si>
    <t>unicela</t>
  </si>
  <si>
    <t>Vznik a obnova nad Čergovom, príchod nad pozorovacie miesto v štádiu rozpadu.</t>
  </si>
  <si>
    <t>MCS</t>
  </si>
  <si>
    <t>P , D , Z</t>
  </si>
  <si>
    <t>konvergentná zóna</t>
  </si>
  <si>
    <t>14:35-17:15</t>
  </si>
  <si>
    <t>Zadná strana MCS, ktorý vznikol zlievaním konvektívnych buniek iniciovaných na konvergentnej zóne postupujúcej nad východné Slovensko z Poľska.</t>
  </si>
  <si>
    <t>V</t>
  </si>
  <si>
    <t>ZJZ</t>
  </si>
  <si>
    <t>6/8, ráno hmla, búrka</t>
  </si>
  <si>
    <t>W , D , S  , Z</t>
  </si>
  <si>
    <t xml:space="preserve">7/8, prehánky </t>
  </si>
  <si>
    <t>6/8, krupkové prehánky</t>
  </si>
  <si>
    <t>5/8, slnečný deň</t>
  </si>
  <si>
    <t>14:50-16:35</t>
  </si>
  <si>
    <t>studený sektor</t>
  </si>
  <si>
    <t>W , L , S , Z</t>
  </si>
  <si>
    <t>?</t>
  </si>
  <si>
    <t>Postup od severozápadu. Pre pozorovacím miestom zosilňovanie a viditeľný shelf cloud. Následne 17:00-17:00 2 výboje na pomerne silnej bunke severovýchodne od pozorovacieho miesta. Zrážky boli iba vo forme snehových krúpok. Na hrebeni prechodné zosilnenie vetra - 14:50-15:20 UTC 14 m/s náraz a 6.1 m/s priemer v 2 m nad povrchom (windmaster II).</t>
  </si>
  <si>
    <t>6/8, krúpkové prehánky, búrka</t>
  </si>
  <si>
    <t xml:space="preserve">2/8, slnečný deň </t>
  </si>
  <si>
    <t>6/8, halové javy (22 ° halo, parhelia, horný dotykový oblúk, cirkumzenitálny oblúk)</t>
  </si>
  <si>
    <t>nevýrazné tlakové pole nižšeho tlaku</t>
  </si>
  <si>
    <t>outflow boundary?</t>
  </si>
  <si>
    <t>Konvekcia vznikajúca v chladnejšom vzduchu, výskyt drobných krúpok, neskôr krúp s priemerom 5 mm</t>
  </si>
  <si>
    <t>11:00-11:50</t>
  </si>
  <si>
    <t>5/8, búrka, prehánky</t>
  </si>
  <si>
    <t>D , K , Z</t>
  </si>
  <si>
    <t>12:00-13:05</t>
  </si>
  <si>
    <t>P</t>
  </si>
  <si>
    <t>squall line</t>
  </si>
  <si>
    <t>Línia, ktorá sa sformovala na postupujúcom studenom fronte. Prechodné zosilnenie vetra a shelf cloud s výrazne turbulentnou zadnou stranou (whale's mouth). Vyskytli sa drobné krúpky, nepresahujúce veľkosť 5 mm.</t>
  </si>
  <si>
    <t>7/8, búrka, v noci halové javy (22° halo), večer hmla</t>
  </si>
  <si>
    <t>6/8, ráno hmla, prehánky</t>
  </si>
  <si>
    <t>2/8, slnečný deň</t>
  </si>
  <si>
    <t>7/8, prehánky</t>
  </si>
  <si>
    <t>8/8, halové javy (cirkumzenitálny oblúk), SSP</t>
  </si>
  <si>
    <t>6/8, ráno hmla</t>
  </si>
  <si>
    <t>W , L , D , K , Z</t>
  </si>
  <si>
    <t>W , P , D , Z</t>
  </si>
  <si>
    <t>16:30-18:35</t>
  </si>
  <si>
    <t>Na hrebeni nárazy vetra s rýchlosťou 14,6 m/s v 2 m nad povrchom.</t>
  </si>
  <si>
    <t xml:space="preserve">D , Z </t>
  </si>
  <si>
    <t>6/8, búrka</t>
  </si>
  <si>
    <t>8/8, prehánky, ľadové krúpky</t>
  </si>
  <si>
    <t xml:space="preserve">1/8, slnečný deň </t>
  </si>
  <si>
    <t>4/8, slnečný deň, prehánky</t>
  </si>
  <si>
    <t>7/8, ráno dymno</t>
  </si>
  <si>
    <t>5/8, halové javy (večer 22 ° parhelia)</t>
  </si>
  <si>
    <t>zvlnený front</t>
  </si>
  <si>
    <t>JZ-SV</t>
  </si>
  <si>
    <t>3:40-5:15</t>
  </si>
  <si>
    <t>7/8, ráno búrka</t>
  </si>
  <si>
    <t>1/8, ráno hmla, slnečný deň</t>
  </si>
  <si>
    <t>6/8, prehánky</t>
  </si>
  <si>
    <t>5/8, ráno dymno</t>
  </si>
  <si>
    <t>4/8, ráno dymno</t>
  </si>
  <si>
    <t>5/8, ráno hmla</t>
  </si>
  <si>
    <t>4/8, nadránom prehánky, ráno dymno, ráno halové javy (ľavé 22° parhelium)</t>
  </si>
  <si>
    <t>6/8, ráno dymno</t>
  </si>
  <si>
    <t>6/8, v noci prehánky</t>
  </si>
  <si>
    <t>3/8, slnečný deň, večer halové javy (22 ° parhelia)</t>
  </si>
  <si>
    <t>1/8, slnečný deň</t>
  </si>
  <si>
    <t>3/8, slnečný deň</t>
  </si>
  <si>
    <t>2/8, ráno dymno, slnečný deň</t>
  </si>
  <si>
    <t>1/8, ráno dymno, slnečný deň</t>
  </si>
  <si>
    <t>3/8, ráno dymno, slnečný deň</t>
  </si>
  <si>
    <t>3/8, slnečný deň, ráno dymno, cez deň zákal</t>
  </si>
  <si>
    <t>7:30-8:40</t>
  </si>
  <si>
    <t>Z-V</t>
  </si>
  <si>
    <t>výšková brázda nízkeho tlaku</t>
  </si>
  <si>
    <t>orografia?</t>
  </si>
  <si>
    <t>Vznik na strednom Slovensku v okolí Banskej Bystrice. S postupom na východ sa bunky na čelnej strane zorganizovali do línie s niekoľkými prehnutými segmentmi, ktoré dosahovali vyššiu radarovú odrazivosť a boli podľa ostatných pozorovaní sprevádzané krupobitím a húľavou.</t>
  </si>
  <si>
    <t>6/8, ráno búrka</t>
  </si>
  <si>
    <t>5/8, večer prehánky</t>
  </si>
  <si>
    <t>5:45-6:15</t>
  </si>
  <si>
    <t>W , V , D , N</t>
  </si>
  <si>
    <t>Pomerne dlhá nekompaktná konvektívna línia postupujúca Slovenskom tvoriaca sa pozdĺž konvergentnej zóny. Elektricky aktívna bunka sa vyskytla v rámci línie 14 km na severozápad. V čase výskytu búrky sa vyskytli len nemerateľné zrážky, aj keď celkový úhrn po prechode línie dosiahol 1,7 mm a súvisel s elektricky neaktívnymi bunkami.</t>
  </si>
  <si>
    <t>15:00-17:05</t>
  </si>
  <si>
    <t>supercela</t>
  </si>
  <si>
    <t>L , D , Z</t>
  </si>
  <si>
    <t>Vznik severne od Čergova, následne postup na juhovýchod. Nad Čergovom sa cca o 15:00 UTC vytvorila nová supercela, ktorá spôsobila postupný zánik tej prvej. Súbežne bolo možné vidieť 2 pravotočivé mezocyklóny vedľa seba - jedna už v štádiu rozpadu. Približne o 16:00 UTC sa na prednej strane druhej bunky vytvorila nová supercela, ktorá jej odrezala vtok do jej výstupného prúdu. Nová, 3. supercela sa už propagovala opačným smerom, na sever, kde postupne zanikla. Priniesla len 0,4 mm. Severne od pozorovacieho miesta sa ale na prvej a druhej supercele vyskytovali mohutné krupobitia.</t>
  </si>
  <si>
    <t>6/8, búrka, večer hmla</t>
  </si>
  <si>
    <t>2:00-2:55</t>
  </si>
  <si>
    <t>W , V , D , Z</t>
  </si>
  <si>
    <t>outflow boundary</t>
  </si>
  <si>
    <t>ZJZ-VSV</t>
  </si>
  <si>
    <t>Vznik pri Sabinove na outflow boundary po staršom konvektívnom systéme.</t>
  </si>
  <si>
    <t>13:13-15:45</t>
  </si>
  <si>
    <t>7/8, ráno a večer hmla, búrka</t>
  </si>
  <si>
    <t>7/8, ráno hmla, k večeru vzdialená búrka</t>
  </si>
  <si>
    <t>W , V</t>
  </si>
  <si>
    <t>S-J</t>
  </si>
  <si>
    <t>15:20-15:40</t>
  </si>
  <si>
    <t>4/8, ráno hmla</t>
  </si>
  <si>
    <t>2/8, ráno dymno</t>
  </si>
  <si>
    <t>1/8, slnečný deň, ráno dymno</t>
  </si>
  <si>
    <t>JJZ-SSV</t>
  </si>
  <si>
    <t>14:10-14:30</t>
  </si>
  <si>
    <t>9-10.7.2021</t>
  </si>
  <si>
    <t>Zvlnený studený front</t>
  </si>
  <si>
    <t xml:space="preserve">5/8, búrka </t>
  </si>
  <si>
    <t>23:20-4:05</t>
  </si>
  <si>
    <t>W , P , D , K , Z</t>
  </si>
  <si>
    <t>V-Z</t>
  </si>
  <si>
    <t>12:30-16:15</t>
  </si>
  <si>
    <t>orografia, neskôr outflow boundary</t>
  </si>
  <si>
    <t>Iniciácia prebehla východne od pozorovacieho miesta, nad Karpatami vo východnej časti územia. V prostredí s veľmi slabým strihom v spodných hladinách nadobúdali bunky spočiatku eratickú propagáciu, neskôr v prípade MCS "prstencovú" pozdĺž rozsiahlejších outflow boundary rozširujúcich sa takmer rovnomerne do strán. V rámci systému prešli v okolí pozorovacieho miesta 2 bunky pravdepodobne produkujúce väčšie krúpy. Prvá severne približne na trase Rakovčík-Kučín-Nižná Voľa a druhá južne od pozorovacieho miesta na trase Ďapalovce-Domaša-Železník. Druhá bunka bola najbližšie a bola sprevádzaná krúpami s priemerom do 1 cm. Neskôr popoludní (14:00-15:00 UTC) došlo k zliatiu bazénov studeného vzduchu s MCS, ktorý sa v priebehu dňa rozvíjal v západnej a centrálnej časti krajiny. Pozdĺž výraznejšieho outflow boundary z MCS od západu sa propagovali naspäť nové bunky, z ktorých jedna z nich priniesla množstva blízkych výbojov. Zliatím obidvoch bazénov došlo k postupnému spotrebovaniu energie a zániku konvekcie nad východným Slovenskom.</t>
  </si>
  <si>
    <t>výšková tlaková níž</t>
  </si>
  <si>
    <t>14:00-17:25</t>
  </si>
  <si>
    <t>21:20-23:05</t>
  </si>
  <si>
    <t>Pôvodne konvektívna línia, ktorá sa nad pozorovacím miestom rozpadla. Vplyvom vysokej vzdušnej vlhkosti sa na nej vyskytoval shelf cloud takmer dosahujúci povrch.</t>
  </si>
  <si>
    <t>prem.</t>
  </si>
  <si>
    <t>Regenerácia systému nad pozorovacím miestom. Konvekcia mala spočiatku podobu neurčitého zhluku. Pozorovacím miestom tak prešlo viacero skôr slabších a krátkotrvajúcich buniek.</t>
  </si>
  <si>
    <t>1/8, slnečný deň, v noci búrka, ráno hmla</t>
  </si>
  <si>
    <t>5/8, saharský prach na oblohe, tropická noc</t>
  </si>
  <si>
    <t>5:10-8:20</t>
  </si>
  <si>
    <t>zvlnený studený front</t>
  </si>
  <si>
    <t>J-S</t>
  </si>
  <si>
    <t>8:40-14:00</t>
  </si>
  <si>
    <t>16:10-16:40</t>
  </si>
  <si>
    <t>Konvektívna línia orientovaná v smere J-S, ktorá sa sformovala na konvergencii pozdĺž frontálneho rozhrania západne od pozorovacieho miesta. Pred pozorovacím miestom sa narušila jej kompaktnosť a najsilnejšie bunky, ktoré boli jej súčasťou, prešli 5 km severozápadne od pozorovacieho miesta, na ktorom sa vyskytli iba slabé stratiformné zrážky zo zvyškov zanikajúcich buniek postupujúcich z juhu.</t>
  </si>
  <si>
    <t>18:55-19:50</t>
  </si>
  <si>
    <t>Krátka trvajúca multicela, ktorá sa vytvorila mimo rozhrania južne od pozorvacieho miesta. Zrážky priniesla elektricky neaktívna, prehánková bunka, ktorá sa vytvorila na prednej strane multicely. Hlavná bunka s elektrickou aktivitou sa tesne pred pozorovacím miestom rozpadla.</t>
  </si>
  <si>
    <t>V , D , Z</t>
  </si>
  <si>
    <t>mimo rozhrania</t>
  </si>
  <si>
    <t>Vznik v okolí Domaše.</t>
  </si>
  <si>
    <t>7/8, ráno a večer búrka</t>
  </si>
  <si>
    <t>brázda nízkeho tlaku vzduchu</t>
  </si>
  <si>
    <t>VSV-ZJZ</t>
  </si>
  <si>
    <t>Iniciácia na Karpatskom oblúku, následne propagácia s outflow boundary na západ. Pozorvaný shelf cloud a mammaty.</t>
  </si>
  <si>
    <t>14:50-16:55</t>
  </si>
  <si>
    <t>6/8, nadránom hmla, búrka</t>
  </si>
  <si>
    <t>13:05-14:35</t>
  </si>
  <si>
    <t>14:55-15:50</t>
  </si>
  <si>
    <t>výškové barické sedlo</t>
  </si>
  <si>
    <t>Rovnako ako v predošlom prípade vznik východne od Stropkova a propagácia na západ.</t>
  </si>
  <si>
    <t>JV-SZ</t>
  </si>
  <si>
    <t>Vzdialená búrka postupujúca pozdĺž severovýchodného pohraničia.</t>
  </si>
  <si>
    <t>10:00-10:55</t>
  </si>
  <si>
    <t>5/8, ráno dymno, búrka</t>
  </si>
  <si>
    <t>14:45-16:00</t>
  </si>
  <si>
    <t>neurčitý zhluk</t>
  </si>
  <si>
    <t>orografia, outflow boundary</t>
  </si>
  <si>
    <t>Neurčitý zhluk, ktorý sa vytvoril pred pustupujúcim outflow boundary z Poľska. Prvé bunky sa vytvorili priamo na ňom v oblasti Čergova a propagovali sa južným smerom. Ďalšie 2 elektricky aktívne bunky zase východne, nad obcou Krišľovce (najbližšia k pozorovaciemu miestu) a južne, nad Vranovom nad Topľou s propagáciou na sever. Je možné, že sa nad pozorovacím miestom nachádzala konvergentná zóna.</t>
  </si>
  <si>
    <t>7:30-10:05</t>
  </si>
  <si>
    <t>Vznik východne od Stropkova a následne propagácia na západ. Novovznikajúce bunky prešli severne od pozorovacieho miesta a priniesli nemerateľné zrážky v podobe veľkých dažďových kvapiek spod vznikajúceho výstupného prúdu.</t>
  </si>
  <si>
    <t>MCS, ktoré vzniklo ráno v oblasti juhovýchodného Slovenska s propagáciou na sever. Prevládalo severné prúdenie, s príchodom systému dorazil z juhu gust front, pri ktorom došlo k prechodnému zosilneniu vetra z juhu. Na gust fronte bol spozorovaný roztrhaný, no pomerne výrazný a nízko položený shelf cloud s dynamickými výstupnými pohybmi.</t>
  </si>
  <si>
    <t>7/8, ráno prehánka</t>
  </si>
  <si>
    <t>4/8, ráno prehánky</t>
  </si>
  <si>
    <t>1:30-3:30</t>
  </si>
  <si>
    <t>outflow boundary / MCV</t>
  </si>
  <si>
    <t>21:15-22:20</t>
  </si>
  <si>
    <t>teplý sektor / výšková brázda nízkeho tlaku vzduchu</t>
  </si>
  <si>
    <t>pravdepodobne orografia</t>
  </si>
  <si>
    <t>W , L , D , N</t>
  </si>
  <si>
    <t>5/8, ráno a v noci búrka</t>
  </si>
  <si>
    <t>4/8, popoludní búrka</t>
  </si>
  <si>
    <t>konvergentná zóna? / orografia</t>
  </si>
  <si>
    <t>12:35-17:35</t>
  </si>
  <si>
    <t xml:space="preserve">Train effect vyvolaný generovaním nových, prevažne supercelárnych buniek nad Čergov a Levočskými vrchmi. Oblasťou severne od pozorovacieho miesta prešlo približne 5 supercelárnych buniek, ktoré prinášali krupobitie, downbursty a vysoké akumulácie zrážok (&gt;50 mm). Pozorované výrazné wall cloudy a charakteristické radarové črty superciel - odklon postupu, štiepenie, dlhá životnosť. Pozorovacie miesto nazasiahla žiadna z buniek, no zaznamenaných bolo niekoľko outflow boundary postupujúcich od severu za každou bunkou s typickým prechodným zosilnením vetra, poklesom teploty a sprievodnou oblačnosťou typu pannus a arcus. </t>
  </si>
  <si>
    <t>Supercela postupujúca z juhozápadu vo večerných hodinách. Miesto vzniku približne v oblasti Moldavy nad Bodvou. Na radare vykazovala charakteristické črty v podobe odklonu postupu, štiepenia, veľmi dlhej životnosti a dlhodobo vysokej odrazivosti, čo svedčí o veľmi perzistentnom výstupnom prúde. V obci Detrík vyprodukovala 3 cm krúpy. Z pozorovacieho miesta bolo vidieť výrazný wall cloud.</t>
  </si>
  <si>
    <t>Dynamická squall line postupujúca od západu v nočných hodinách. Nad pozorovacím miestom postupne zoslabla, no bola ešte sprevádzaná shelf cloudom.</t>
  </si>
  <si>
    <t>23:05-1:05</t>
  </si>
  <si>
    <t>28-29.7.2021</t>
  </si>
  <si>
    <t>Zvlnený studený front?</t>
  </si>
  <si>
    <t>3/8, ráno hmla</t>
  </si>
  <si>
    <t>7/8, nadránom prehánka, večer hmla</t>
  </si>
  <si>
    <t>15:30-16:50</t>
  </si>
  <si>
    <t>18:27-19:50</t>
  </si>
  <si>
    <t>Elektricky aktívna stratiforma na zadnej strane presúvajúcej sa níže. Prevažne CG+ výboje. Na južnej strane systému bow echo.</t>
  </si>
  <si>
    <t>7/8, ráno hmla, búrka</t>
  </si>
  <si>
    <t>19:00-20:15</t>
  </si>
  <si>
    <t>podružný studený front</t>
  </si>
  <si>
    <t>frontálne rozhranie / orografia</t>
  </si>
  <si>
    <t>mutlicela</t>
  </si>
  <si>
    <t>7/8, ráno hmla, večer búrka</t>
  </si>
  <si>
    <t>13:25-17:45</t>
  </si>
  <si>
    <t>nevýrazné tlakové pole vyššieho tlaku vzduchu</t>
  </si>
  <si>
    <t>Orograficky iniciovaná konvekcia tvoriaca sa v západnom prúdení. V oblasti okolo Prešova sa konvekcia obnovovala, čím dochádzalo k train effectu nad pozorovacím miestom. Zrážková výdatnosť bola ale relatívne nízka.</t>
  </si>
  <si>
    <t>Vznik medzi Levočskými vrchmi a Čergovom. Približne 30 min od vzniku južne od Čergova viditeľný odklon na radare v pravo. Z pozorovacieho miesta bolo vidieť veľmi dobre separované výstupné a zostupné prúdy bunky ako aj hustú, svetlo-bielo zafarbenú zrážkovú stenu, zatočenú pri povrchu (pravdepodobne downburst).</t>
  </si>
  <si>
    <t>nevýrazné tlakové pole</t>
  </si>
  <si>
    <t>13:00-14:45</t>
  </si>
  <si>
    <t>ZSZ-VJV</t>
  </si>
  <si>
    <t>6/8, ráno a večer hmla, popoludní búrka</t>
  </si>
  <si>
    <t>15:10-17:00</t>
  </si>
  <si>
    <t>zvlnený studený front, stred prehlbujúcej sa cyklóny</t>
  </si>
  <si>
    <t>8/8, prehánky, búrka</t>
  </si>
  <si>
    <t>Iniciácia prebehla južne od pozorovacieho miesta pozdĺž Slanských vrchov. V Petkovciach sa vyskytlo v čase 15:00 UTC tornádo. Výdatnosť zrážok bola vplyvom vysokej vlhkosti vzduchu silná a bunka, ktorá prešla okrajovo pozorovacím miestom vyprodukovala len 3 výboje. Ďalšie výboje sa vyskytli v rámci zhluku na vzdialenej konvekcii západne od pozorovacieho miesta blízko Prešova, ktorá už zrážky na pozorovacom mieste nepriniesla. Po prechode prvej konvekcie zároveň došlo k výraznému zosilneniu južného vetra.</t>
  </si>
  <si>
    <t>5/8, ráno búrka</t>
  </si>
  <si>
    <t>0:30-2:00</t>
  </si>
  <si>
    <t>výšková brázda nízkeho tlaku vzduchu</t>
  </si>
  <si>
    <t>SSZ-JJV</t>
  </si>
  <si>
    <t>13:10-13:45</t>
  </si>
  <si>
    <t>Vznik nad Čergovom, spočiatku postup na východ, nad Bardejovom následne odklon vpravo od prevládajúceho postupu. Tesne pred pozorovacím miestom dosahovala bunka vysokú radarovú odrazivosť (Cmax 65 dBZ), načo následne došlo k  vypadnutiu zrážok v blízkosti pozorovacieho miesto a prudkému poklesu odrazivosti (Cmax okolo 55 dBZ behom 10 minút). Úhrn bol relatívne nízky, no prudký a krátkotrvajúci s menšími krúpami v úvodnej fáze vzniku zrážkovej steny. Bunka sa následne zregenerovala a pokračovala ďalej na juhovýchod. Vyprodukovala len 2 výboje nezachytené detekciou.</t>
  </si>
  <si>
    <t>5/8, ráno hmla, búrka, prehánky</t>
  </si>
  <si>
    <t>4/8, ráno hmla, prehánka</t>
  </si>
  <si>
    <t>11:45-12:15</t>
  </si>
  <si>
    <t>V , D , N</t>
  </si>
  <si>
    <t xml:space="preserve">Nákova z konvekcie západne od pozorovacieho miesta, pravdepodobne vnorené supercely. Vyskytovali sa prevažne CG+ výboje, spozorované mammaty. </t>
  </si>
  <si>
    <t>16:00-18:20</t>
  </si>
  <si>
    <t>0:55-2:50</t>
  </si>
  <si>
    <t>Stratiforma po MCS propagujúcom sa z Maďarska.</t>
  </si>
  <si>
    <t>5/8, ráno hmla, búrka</t>
  </si>
  <si>
    <t>0:30-3:55</t>
  </si>
  <si>
    <t>Dynamická squall line s prehnutými segmentami na radare (bow echo). Línia bola sprevádzaná nárazovým vetrom na viacerých miestach, no na pozorovacom mieste sa nevyskytol (na hrebeni ale odhadom 10-12 m/s nárazy). Na čele línie sa vyskytoval výrazný shelf cloud.</t>
  </si>
  <si>
    <t>7/8, v noci búrka, prehánky</t>
  </si>
  <si>
    <t>oklúzny front</t>
  </si>
  <si>
    <t>10:50-11:40</t>
  </si>
  <si>
    <t>Vznik JV od Čergova a následne postup s miernym odklonom na juhovýchod. Bunka mala relatívne dlhšiu životnosť a dynamický postup s odklonom vpravo od prevládajúceho postupu. Je možné, že sa jednalo o supercelu.</t>
  </si>
  <si>
    <t>8/8, ráno hmla</t>
  </si>
  <si>
    <t>8/8, ráno hmla, búrka</t>
  </si>
  <si>
    <t>15:00-15:50</t>
  </si>
  <si>
    <t>7/8, nadránom hmla, večer halové javy (22 ° halo)</t>
  </si>
  <si>
    <t>intenzita (5 min priemer)</t>
  </si>
  <si>
    <t>5/8, búrka</t>
  </si>
  <si>
    <t>2/8, ráno hmla, slnečný deň</t>
  </si>
  <si>
    <t>3/8, ráno hmla, slnečný deň</t>
  </si>
  <si>
    <t>studený oklúzny front</t>
  </si>
  <si>
    <t>V, Z</t>
  </si>
  <si>
    <t>10:45-13:50</t>
  </si>
  <si>
    <t>frontálne rozhranie, orografia</t>
  </si>
  <si>
    <t>Kvázi-lineárna organizácia buniek, ktoré sa sformovali pozdĺž frontálneho rozhrania. Elektricky aktívne bunky prechádzali východne, okolo Stropkova a neskôr okolo 13:00 UTC západne pri Raslaviciach. V druhom prípade pravdepodobne hrala významnu úlohu pri inicácii orografia (Čergov).</t>
  </si>
  <si>
    <t>5/8, búrka, ráno hmla</t>
  </si>
  <si>
    <t>7/8, ráno mrholenie</t>
  </si>
  <si>
    <t>2/8</t>
  </si>
  <si>
    <t>3/8, ráno dymno</t>
  </si>
  <si>
    <t>2/8, slnečný deň, ráno dymno</t>
  </si>
  <si>
    <t>6/8, večer prehánky</t>
  </si>
  <si>
    <t>0/8, slnečný deň, ráno hmla</t>
  </si>
  <si>
    <t>0/8, ráno dymno, slnečný deň</t>
  </si>
  <si>
    <t>0/8, slnečný deň, ráno dymno</t>
  </si>
  <si>
    <t>1/8, slnečný deň, ráno hmla</t>
  </si>
  <si>
    <t>7/8, ráno a večer hmla</t>
  </si>
  <si>
    <t>6/8, ráno a večer hmla</t>
  </si>
  <si>
    <t>5/8, ráno a večer hmla</t>
  </si>
  <si>
    <t>7/8, ráno hmla, prehánky</t>
  </si>
  <si>
    <t>8/8, ráno dymno, prehánky, mrholenie</t>
  </si>
  <si>
    <t>8/8, ráno hmla, mrholenie</t>
  </si>
  <si>
    <t>1/8, slnečný deň, večer hmla</t>
  </si>
  <si>
    <r>
      <t>H</t>
    </r>
    <r>
      <rPr>
        <sz val="8"/>
        <color theme="1"/>
        <rFont val="Calibri"/>
        <family val="2"/>
        <charset val="238"/>
        <scheme val="minor"/>
      </rPr>
      <t>max. (&gt;95%)</t>
    </r>
  </si>
  <si>
    <t>5/8, ráno poprašok</t>
  </si>
  <si>
    <t>7/8, ráno hmla, osuheľ, inovať</t>
  </si>
  <si>
    <t>8/8, večer hmla, SSP</t>
  </si>
  <si>
    <t>8/8, nadránom hmla, NSP</t>
  </si>
  <si>
    <t>5/8, NSP</t>
  </si>
  <si>
    <t>8/8, NSP, mrznúci dážď, ľadovka, ráno hmla</t>
  </si>
  <si>
    <t>8/8, ráno hmla, NSP</t>
  </si>
  <si>
    <t>4/8, ráno dymno, slnečný deň</t>
  </si>
  <si>
    <t>7/8, NSP, mrznúca hmla, inovať</t>
  </si>
  <si>
    <t>8/8, SSP, večer dymno, v noci mrznúci dážď</t>
  </si>
  <si>
    <t>8/8, ráno mrznúci dážď, ráno hmla, SSP</t>
  </si>
  <si>
    <t>4/8, nevýrazné halové javy (22 ° halo, HDO, CZO, parhelia), SSP</t>
  </si>
  <si>
    <t>4/8, nevýrazné halové javy (22 ° halo, HDO, parhelia), SSP</t>
  </si>
  <si>
    <t>7/8, ráno mrznúca hmla, inovať, snehové ihličky, SSP</t>
  </si>
  <si>
    <t>8/8, ráno a večer hmla, mrholenie, SSP</t>
  </si>
  <si>
    <t>8/8, ráno hmla, mrholenie, NSP</t>
  </si>
  <si>
    <t>8/8, mrholenie, NSP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</si>
</sst>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quot; °C&quot;"/>
    <numFmt numFmtId="165" formatCode="0.0&quot; hPa&quot;"/>
    <numFmt numFmtId="166" formatCode="0.0&quot; %&quot;"/>
    <numFmt numFmtId="167" formatCode="0.0&quot; m/s&quot;"/>
    <numFmt numFmtId="168" formatCode="0.0&quot; km&quot;"/>
    <numFmt numFmtId="169" formatCode="0.0&quot; mm/h&quot;"/>
    <numFmt numFmtId="170" formatCode="0.0&quot; mm&quot;"/>
    <numFmt numFmtId="171" formatCode="0.0&quot; cm&quot;"/>
    <numFmt numFmtId="172" formatCode="0&quot; dBz&quot;"/>
    <numFmt numFmtId="173" formatCode="0&quot; bleskov&quot;"/>
    <numFmt numFmtId="174" formatCode="0&quot; X&quot;"/>
  </numFmts>
  <fonts count="12" x14ac:knownFonts="1">
    <font>
      <sz val="11"/>
      <color theme="1"/>
      <name val="Calibri"/>
      <family val="2"/>
      <charset val="238"/>
      <scheme val="minor"/>
    </font>
    <font>
      <b/>
      <sz val="12"/>
      <color theme="1"/>
      <name val="Calibri"/>
      <family val="2"/>
      <charset val="238"/>
      <scheme val="minor"/>
    </font>
    <font>
      <sz val="10"/>
      <color theme="1"/>
      <name val="Calibri"/>
      <family val="2"/>
      <charset val="238"/>
      <scheme val="minor"/>
    </font>
    <font>
      <sz val="8"/>
      <color theme="1"/>
      <name val="Calibri"/>
      <family val="2"/>
      <charset val="238"/>
      <scheme val="minor"/>
    </font>
    <font>
      <b/>
      <i/>
      <sz val="11"/>
      <color theme="1"/>
      <name val="Calibri"/>
      <family val="2"/>
      <charset val="238"/>
      <scheme val="minor"/>
    </font>
    <font>
      <sz val="9"/>
      <color indexed="81"/>
      <name val="Tahoma"/>
      <family val="2"/>
      <charset val="238"/>
    </font>
    <font>
      <b/>
      <sz val="9"/>
      <color indexed="81"/>
      <name val="Tahoma"/>
      <family val="2"/>
      <charset val="238"/>
    </font>
    <font>
      <b/>
      <sz val="11"/>
      <color theme="1"/>
      <name val="Calibri"/>
      <family val="2"/>
      <charset val="238"/>
      <scheme val="minor"/>
    </font>
    <font>
      <sz val="12"/>
      <color theme="1"/>
      <name val="Calibri"/>
      <family val="2"/>
      <charset val="238"/>
      <scheme val="minor"/>
    </font>
    <font>
      <b/>
      <i/>
      <sz val="12"/>
      <color theme="1"/>
      <name val="Calibri"/>
      <family val="2"/>
      <charset val="238"/>
      <scheme val="minor"/>
    </font>
    <font>
      <b/>
      <sz val="9"/>
      <color indexed="81"/>
      <name val="Segoe UI"/>
      <family val="2"/>
      <charset val="238"/>
    </font>
    <font>
      <sz val="9"/>
      <color indexed="81"/>
      <name val="Segoe UI"/>
      <family val="2"/>
      <charset val="238"/>
    </font>
  </fonts>
  <fills count="3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FF66"/>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0070C0"/>
        <bgColor indexed="64"/>
      </patternFill>
    </fill>
    <fill>
      <patternFill patternType="solid">
        <fgColor rgb="FF00B0F0"/>
        <bgColor indexed="64"/>
      </patternFill>
    </fill>
    <fill>
      <patternFill patternType="solid">
        <fgColor rgb="FFCCFF66"/>
        <bgColor indexed="64"/>
      </patternFill>
    </fill>
    <fill>
      <patternFill patternType="solid">
        <fgColor rgb="FF800000"/>
        <bgColor indexed="64"/>
      </patternFill>
    </fill>
    <fill>
      <patternFill patternType="solid">
        <fgColor theme="0" tint="-0.14999847407452621"/>
        <bgColor indexed="64"/>
      </patternFill>
    </fill>
    <fill>
      <patternFill patternType="solid">
        <fgColor rgb="FFCCFD66"/>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D60093"/>
        <bgColor indexed="64"/>
      </patternFill>
    </fill>
    <fill>
      <patternFill patternType="solid">
        <fgColor rgb="FFFF6699"/>
        <bgColor indexed="64"/>
      </patternFill>
    </fill>
    <fill>
      <patternFill patternType="solid">
        <fgColor theme="3" tint="0.39997558519241921"/>
        <bgColor indexed="64"/>
      </patternFill>
    </fill>
  </fills>
  <borders count="6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s>
  <cellStyleXfs count="1">
    <xf numFmtId="0" fontId="0" fillId="0" borderId="0"/>
  </cellStyleXfs>
  <cellXfs count="553">
    <xf numFmtId="0" fontId="0" fillId="0" borderId="0" xfId="0"/>
    <xf numFmtId="164" fontId="0" fillId="0" borderId="0" xfId="0" applyNumberFormat="1"/>
    <xf numFmtId="165" fontId="0" fillId="0" borderId="0" xfId="0" applyNumberFormat="1"/>
    <xf numFmtId="166" fontId="0" fillId="0" borderId="0" xfId="0" applyNumberFormat="1"/>
    <xf numFmtId="167" fontId="0" fillId="0" borderId="4" xfId="0" applyNumberFormat="1" applyBorder="1" applyAlignment="1">
      <alignment wrapText="1"/>
    </xf>
    <xf numFmtId="167" fontId="0" fillId="0" borderId="5" xfId="0" applyNumberFormat="1" applyBorder="1" applyAlignment="1">
      <alignment wrapText="1"/>
    </xf>
    <xf numFmtId="167" fontId="0" fillId="0" borderId="0" xfId="0" applyNumberFormat="1"/>
    <xf numFmtId="168" fontId="0" fillId="0" borderId="0" xfId="0" applyNumberFormat="1"/>
    <xf numFmtId="169" fontId="0" fillId="0" borderId="0" xfId="0" applyNumberFormat="1"/>
    <xf numFmtId="170" fontId="0" fillId="0" borderId="5" xfId="0" applyNumberFormat="1" applyFill="1" applyBorder="1" applyAlignment="1">
      <alignment wrapText="1"/>
    </xf>
    <xf numFmtId="170" fontId="0" fillId="0" borderId="0" xfId="0" applyNumberFormat="1"/>
    <xf numFmtId="171" fontId="0" fillId="0" borderId="5" xfId="0" applyNumberFormat="1" applyFill="1" applyBorder="1" applyAlignment="1">
      <alignment wrapText="1"/>
    </xf>
    <xf numFmtId="171" fontId="0" fillId="0" borderId="0" xfId="0" applyNumberFormat="1"/>
    <xf numFmtId="171" fontId="0" fillId="0" borderId="6" xfId="0" applyNumberFormat="1" applyFill="1" applyBorder="1" applyAlignment="1">
      <alignment wrapText="1"/>
    </xf>
    <xf numFmtId="164" fontId="0" fillId="0" borderId="7" xfId="0" applyNumberFormat="1" applyBorder="1"/>
    <xf numFmtId="0" fontId="0" fillId="0" borderId="9" xfId="0" applyBorder="1"/>
    <xf numFmtId="169" fontId="0" fillId="2" borderId="7" xfId="0" applyNumberFormat="1" applyFill="1" applyBorder="1"/>
    <xf numFmtId="170" fontId="0" fillId="2" borderId="7" xfId="0" applyNumberFormat="1" applyFill="1" applyBorder="1"/>
    <xf numFmtId="171" fontId="0" fillId="2" borderId="7" xfId="0" applyNumberFormat="1" applyFill="1" applyBorder="1"/>
    <xf numFmtId="167" fontId="0" fillId="2" borderId="7" xfId="0" applyNumberFormat="1" applyFill="1" applyBorder="1"/>
    <xf numFmtId="0" fontId="0" fillId="0" borderId="7" xfId="0" applyBorder="1"/>
    <xf numFmtId="165" fontId="0" fillId="0" borderId="7" xfId="0" applyNumberFormat="1" applyBorder="1"/>
    <xf numFmtId="164" fontId="0" fillId="0" borderId="14" xfId="0" applyNumberFormat="1" applyBorder="1"/>
    <xf numFmtId="165" fontId="0" fillId="0" borderId="5" xfId="0" applyNumberFormat="1" applyBorder="1"/>
    <xf numFmtId="166" fontId="0" fillId="0" borderId="7" xfId="0" applyNumberFormat="1" applyBorder="1"/>
    <xf numFmtId="167" fontId="0" fillId="0" borderId="7" xfId="0" applyNumberFormat="1" applyBorder="1"/>
    <xf numFmtId="169" fontId="0" fillId="0" borderId="7" xfId="0" applyNumberFormat="1" applyBorder="1"/>
    <xf numFmtId="170" fontId="0" fillId="0" borderId="7" xfId="0" applyNumberFormat="1" applyBorder="1"/>
    <xf numFmtId="171" fontId="0" fillId="0" borderId="7" xfId="0" applyNumberFormat="1" applyBorder="1"/>
    <xf numFmtId="171" fontId="0" fillId="0" borderId="24" xfId="0" applyNumberFormat="1" applyBorder="1"/>
    <xf numFmtId="164" fontId="0" fillId="0" borderId="25" xfId="0" applyNumberFormat="1" applyBorder="1"/>
    <xf numFmtId="166" fontId="0" fillId="0" borderId="25" xfId="0" applyNumberFormat="1" applyBorder="1"/>
    <xf numFmtId="165" fontId="0" fillId="0" borderId="25" xfId="0" applyNumberFormat="1" applyBorder="1"/>
    <xf numFmtId="167" fontId="0" fillId="0" borderId="25" xfId="0" applyNumberFormat="1" applyBorder="1"/>
    <xf numFmtId="0" fontId="0" fillId="0" borderId="25" xfId="0" applyBorder="1"/>
    <xf numFmtId="164" fontId="0" fillId="0" borderId="5" xfId="0" applyNumberFormat="1" applyBorder="1"/>
    <xf numFmtId="164" fontId="0" fillId="0" borderId="5" xfId="0" applyNumberFormat="1" applyFont="1" applyBorder="1"/>
    <xf numFmtId="0" fontId="0" fillId="0" borderId="28" xfId="0" applyBorder="1"/>
    <xf numFmtId="0" fontId="0" fillId="0" borderId="5" xfId="0" applyBorder="1"/>
    <xf numFmtId="14" fontId="0" fillId="0" borderId="26" xfId="0" applyNumberFormat="1" applyBorder="1"/>
    <xf numFmtId="164" fontId="0" fillId="0" borderId="23" xfId="0" applyNumberFormat="1" applyBorder="1"/>
    <xf numFmtId="164" fontId="0" fillId="0" borderId="13" xfId="0" applyNumberFormat="1" applyBorder="1"/>
    <xf numFmtId="167" fontId="0" fillId="0" borderId="14" xfId="0" applyNumberFormat="1" applyBorder="1"/>
    <xf numFmtId="171" fontId="0" fillId="2" borderId="24" xfId="0" applyNumberFormat="1" applyFill="1" applyBorder="1"/>
    <xf numFmtId="169" fontId="0" fillId="0" borderId="14" xfId="0" applyNumberFormat="1" applyBorder="1"/>
    <xf numFmtId="170" fontId="0" fillId="0" borderId="14" xfId="0" applyNumberFormat="1" applyBorder="1"/>
    <xf numFmtId="171" fontId="0" fillId="0" borderId="14" xfId="0" applyNumberFormat="1" applyBorder="1"/>
    <xf numFmtId="171" fontId="0" fillId="0" borderId="16" xfId="0" applyNumberFormat="1" applyBorder="1"/>
    <xf numFmtId="0" fontId="1" fillId="0" borderId="10" xfId="0" applyFont="1" applyBorder="1" applyAlignment="1">
      <alignment horizontal="center" vertical="center"/>
    </xf>
    <xf numFmtId="164" fontId="0" fillId="0" borderId="4" xfId="0" applyNumberFormat="1" applyBorder="1"/>
    <xf numFmtId="169" fontId="0" fillId="0" borderId="4" xfId="0" applyNumberFormat="1" applyFill="1" applyBorder="1" applyAlignment="1">
      <alignment wrapText="1"/>
    </xf>
    <xf numFmtId="165" fontId="0" fillId="0" borderId="28" xfId="0" applyNumberFormat="1" applyBorder="1"/>
    <xf numFmtId="0" fontId="0" fillId="0" borderId="0" xfId="0" applyBorder="1"/>
    <xf numFmtId="164" fontId="0" fillId="0" borderId="0" xfId="0" applyNumberFormat="1" applyBorder="1"/>
    <xf numFmtId="166" fontId="0" fillId="0" borderId="0" xfId="0" applyNumberFormat="1" applyBorder="1"/>
    <xf numFmtId="165" fontId="0" fillId="0" borderId="0" xfId="0" applyNumberFormat="1" applyBorder="1"/>
    <xf numFmtId="167" fontId="0" fillId="0" borderId="0" xfId="0" applyNumberFormat="1" applyBorder="1"/>
    <xf numFmtId="168" fontId="0" fillId="0" borderId="0" xfId="0" applyNumberFormat="1" applyBorder="1"/>
    <xf numFmtId="169" fontId="0" fillId="0" borderId="0" xfId="0" applyNumberFormat="1" applyBorder="1"/>
    <xf numFmtId="170" fontId="0" fillId="0" borderId="0" xfId="0" applyNumberFormat="1" applyBorder="1"/>
    <xf numFmtId="171" fontId="0" fillId="0" borderId="0" xfId="0" applyNumberFormat="1" applyBorder="1"/>
    <xf numFmtId="167" fontId="0" fillId="0" borderId="21" xfId="0" applyNumberFormat="1" applyBorder="1"/>
    <xf numFmtId="167" fontId="0" fillId="2" borderId="21" xfId="0" applyNumberFormat="1" applyFill="1" applyBorder="1"/>
    <xf numFmtId="167" fontId="0" fillId="0" borderId="32" xfId="0" applyNumberFormat="1" applyBorder="1"/>
    <xf numFmtId="164" fontId="0" fillId="0" borderId="20" xfId="0" applyNumberFormat="1" applyBorder="1"/>
    <xf numFmtId="0" fontId="0" fillId="2" borderId="7" xfId="0" applyFill="1" applyBorder="1"/>
    <xf numFmtId="165" fontId="0" fillId="0" borderId="24" xfId="0" applyNumberFormat="1" applyBorder="1"/>
    <xf numFmtId="166" fontId="0" fillId="0" borderId="14" xfId="0" applyNumberFormat="1" applyBorder="1"/>
    <xf numFmtId="165" fontId="0" fillId="0" borderId="14" xfId="0" applyNumberFormat="1" applyBorder="1"/>
    <xf numFmtId="165" fontId="0" fillId="0" borderId="16" xfId="0" applyNumberFormat="1" applyBorder="1"/>
    <xf numFmtId="165" fontId="0" fillId="0" borderId="40" xfId="0" applyNumberFormat="1" applyBorder="1"/>
    <xf numFmtId="167" fontId="0" fillId="0" borderId="23" xfId="0" applyNumberFormat="1" applyBorder="1"/>
    <xf numFmtId="167" fontId="0" fillId="2" borderId="23" xfId="0" applyNumberFormat="1" applyFill="1" applyBorder="1"/>
    <xf numFmtId="167" fontId="0" fillId="0" borderId="13" xfId="0" applyNumberFormat="1" applyBorder="1"/>
    <xf numFmtId="0" fontId="2" fillId="2" borderId="7" xfId="0" applyNumberFormat="1" applyFont="1" applyFill="1" applyBorder="1" applyAlignment="1">
      <alignment horizontal="center"/>
    </xf>
    <xf numFmtId="164" fontId="0" fillId="0" borderId="39" xfId="0" applyNumberFormat="1" applyBorder="1"/>
    <xf numFmtId="164" fontId="0" fillId="0" borderId="26" xfId="0" applyNumberFormat="1" applyBorder="1"/>
    <xf numFmtId="167" fontId="0" fillId="0" borderId="28" xfId="0" applyNumberFormat="1" applyBorder="1" applyAlignment="1">
      <alignment wrapText="1"/>
    </xf>
    <xf numFmtId="164" fontId="0" fillId="0" borderId="24" xfId="0" applyNumberFormat="1" applyBorder="1"/>
    <xf numFmtId="164" fontId="0" fillId="0" borderId="16" xfId="0" applyNumberFormat="1" applyBorder="1"/>
    <xf numFmtId="166" fontId="0" fillId="0" borderId="24" xfId="0" applyNumberFormat="1" applyBorder="1"/>
    <xf numFmtId="166" fontId="0" fillId="0" borderId="16" xfId="0" applyNumberFormat="1" applyBorder="1"/>
    <xf numFmtId="1" fontId="0" fillId="0" borderId="7" xfId="0" applyNumberFormat="1" applyBorder="1"/>
    <xf numFmtId="164" fontId="0" fillId="0" borderId="40" xfId="0" applyNumberFormat="1" applyBorder="1"/>
    <xf numFmtId="166" fontId="0" fillId="0" borderId="23" xfId="0" applyNumberFormat="1" applyBorder="1"/>
    <xf numFmtId="166" fontId="0" fillId="0" borderId="13" xfId="0" applyNumberFormat="1" applyBorder="1"/>
    <xf numFmtId="0" fontId="0" fillId="0" borderId="5" xfId="0" applyBorder="1" applyAlignment="1">
      <alignment wrapText="1"/>
    </xf>
    <xf numFmtId="1" fontId="0" fillId="0" borderId="25" xfId="0" applyNumberFormat="1" applyBorder="1"/>
    <xf numFmtId="1" fontId="0" fillId="0" borderId="37" xfId="0" applyNumberFormat="1" applyBorder="1"/>
    <xf numFmtId="1" fontId="0" fillId="0" borderId="38" xfId="0" applyNumberFormat="1" applyBorder="1"/>
    <xf numFmtId="1" fontId="1" fillId="23" borderId="1" xfId="0" applyNumberFormat="1" applyFont="1" applyFill="1" applyBorder="1" applyAlignment="1">
      <alignment horizontal="left" vertical="center"/>
    </xf>
    <xf numFmtId="1" fontId="0" fillId="23" borderId="5" xfId="0" applyNumberFormat="1" applyFill="1" applyBorder="1"/>
    <xf numFmtId="1" fontId="0" fillId="0" borderId="21" xfId="0" applyNumberFormat="1" applyBorder="1" applyAlignment="1"/>
    <xf numFmtId="1" fontId="0" fillId="23" borderId="28" xfId="0" applyNumberFormat="1" applyFill="1" applyBorder="1" applyAlignment="1"/>
    <xf numFmtId="1" fontId="0" fillId="0" borderId="26" xfId="0" applyNumberFormat="1" applyBorder="1"/>
    <xf numFmtId="1" fontId="0" fillId="23" borderId="29" xfId="0" applyNumberFormat="1" applyFill="1" applyBorder="1"/>
    <xf numFmtId="1" fontId="0" fillId="0" borderId="7" xfId="0" applyNumberFormat="1" applyBorder="1" applyAlignment="1"/>
    <xf numFmtId="1" fontId="0" fillId="23" borderId="5" xfId="0" applyNumberFormat="1" applyFill="1" applyBorder="1" applyAlignment="1"/>
    <xf numFmtId="1" fontId="0" fillId="0" borderId="25" xfId="0" applyNumberFormat="1" applyBorder="1" applyAlignment="1"/>
    <xf numFmtId="1" fontId="0" fillId="0" borderId="27" xfId="0" applyNumberFormat="1" applyBorder="1" applyAlignment="1"/>
    <xf numFmtId="0" fontId="0" fillId="0" borderId="5" xfId="0" applyBorder="1" applyAlignment="1">
      <alignment horizontal="left" vertical="center" wrapText="1"/>
    </xf>
    <xf numFmtId="0" fontId="0" fillId="0" borderId="5" xfId="0" applyBorder="1" applyAlignment="1">
      <alignment vertical="center" wrapText="1"/>
    </xf>
    <xf numFmtId="0" fontId="0" fillId="0" borderId="33" xfId="0" applyBorder="1"/>
    <xf numFmtId="164" fontId="3" fillId="0" borderId="5" xfId="0" applyNumberFormat="1" applyFont="1" applyBorder="1"/>
    <xf numFmtId="0" fontId="3" fillId="0" borderId="6" xfId="0" applyFont="1" applyBorder="1"/>
    <xf numFmtId="169" fontId="0" fillId="2" borderId="25" xfId="0" applyNumberFormat="1" applyFill="1" applyBorder="1"/>
    <xf numFmtId="170" fontId="0" fillId="2" borderId="25" xfId="0" applyNumberFormat="1" applyFill="1" applyBorder="1"/>
    <xf numFmtId="171" fontId="0" fillId="2" borderId="25" xfId="0" applyNumberFormat="1" applyFill="1" applyBorder="1"/>
    <xf numFmtId="0" fontId="4" fillId="0" borderId="31" xfId="0" applyFont="1" applyBorder="1"/>
    <xf numFmtId="166" fontId="0" fillId="0" borderId="40" xfId="0" applyNumberFormat="1" applyBorder="1"/>
    <xf numFmtId="167" fontId="0" fillId="0" borderId="27" xfId="0" applyNumberFormat="1" applyBorder="1"/>
    <xf numFmtId="167" fontId="0" fillId="0" borderId="39" xfId="0" applyNumberFormat="1" applyBorder="1"/>
    <xf numFmtId="171" fontId="0" fillId="2" borderId="40" xfId="0" applyNumberFormat="1" applyFill="1" applyBorder="1"/>
    <xf numFmtId="0" fontId="0" fillId="0" borderId="0" xfId="0" applyNumberFormat="1" applyBorder="1"/>
    <xf numFmtId="166" fontId="0" fillId="0" borderId="39" xfId="0" applyNumberFormat="1" applyBorder="1"/>
    <xf numFmtId="0" fontId="0" fillId="0" borderId="45" xfId="0" applyNumberFormat="1" applyBorder="1"/>
    <xf numFmtId="0" fontId="0" fillId="0" borderId="46" xfId="0" applyNumberFormat="1" applyBorder="1"/>
    <xf numFmtId="165" fontId="0" fillId="0" borderId="23" xfId="0" applyNumberFormat="1" applyBorder="1"/>
    <xf numFmtId="165" fontId="0" fillId="0" borderId="13" xfId="0" applyNumberFormat="1" applyBorder="1"/>
    <xf numFmtId="165" fontId="0" fillId="0" borderId="39" xfId="0" applyNumberFormat="1" applyBorder="1"/>
    <xf numFmtId="166" fontId="3" fillId="0" borderId="4" xfId="0" applyNumberFormat="1" applyFont="1" applyBorder="1"/>
    <xf numFmtId="166" fontId="3" fillId="0" borderId="5" xfId="0" applyNumberFormat="1" applyFont="1" applyBorder="1"/>
    <xf numFmtId="0" fontId="0" fillId="0" borderId="6" xfId="0" applyBorder="1"/>
    <xf numFmtId="20" fontId="0" fillId="0" borderId="29" xfId="0" applyNumberFormat="1" applyBorder="1" applyAlignment="1">
      <alignment wrapText="1"/>
    </xf>
    <xf numFmtId="169" fontId="0" fillId="0" borderId="28" xfId="0" applyNumberFormat="1" applyFill="1" applyBorder="1" applyAlignment="1">
      <alignment wrapText="1"/>
    </xf>
    <xf numFmtId="0" fontId="2" fillId="12" borderId="20" xfId="0" applyNumberFormat="1" applyFont="1" applyFill="1" applyBorder="1" applyAlignment="1">
      <alignment horizontal="center"/>
    </xf>
    <xf numFmtId="0" fontId="0" fillId="22" borderId="7" xfId="0" applyFill="1" applyBorder="1" applyAlignment="1">
      <alignment horizontal="center" wrapText="1"/>
    </xf>
    <xf numFmtId="0" fontId="2" fillId="12" borderId="7" xfId="0" applyNumberFormat="1" applyFont="1" applyFill="1" applyBorder="1" applyAlignment="1">
      <alignment horizontal="center"/>
    </xf>
    <xf numFmtId="0" fontId="0" fillId="0" borderId="41" xfId="0" applyBorder="1" applyAlignment="1"/>
    <xf numFmtId="0" fontId="0" fillId="0" borderId="37" xfId="0" applyBorder="1" applyAlignment="1"/>
    <xf numFmtId="0" fontId="1" fillId="0" borderId="37" xfId="0" applyFont="1" applyBorder="1" applyAlignment="1">
      <alignment vertical="center" wrapText="1"/>
    </xf>
    <xf numFmtId="0" fontId="1" fillId="27" borderId="51"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26" borderId="4" xfId="0" applyFont="1" applyFill="1" applyBorder="1" applyAlignment="1">
      <alignment horizontal="center" vertical="center" wrapText="1"/>
    </xf>
    <xf numFmtId="0" fontId="7" fillId="26" borderId="5" xfId="0" applyFont="1" applyFill="1" applyBorder="1" applyAlignment="1">
      <alignment horizontal="center" vertical="center" wrapText="1"/>
    </xf>
    <xf numFmtId="0" fontId="7" fillId="26" borderId="6" xfId="0" applyFont="1" applyFill="1" applyBorder="1" applyAlignment="1">
      <alignment horizontal="center" vertical="center" wrapText="1"/>
    </xf>
    <xf numFmtId="0" fontId="7" fillId="28" borderId="5" xfId="0" applyFont="1" applyFill="1" applyBorder="1" applyAlignment="1">
      <alignment horizontal="center" vertical="center" wrapText="1"/>
    </xf>
    <xf numFmtId="0" fontId="7" fillId="28" borderId="29" xfId="0" applyFont="1" applyFill="1" applyBorder="1" applyAlignment="1">
      <alignment horizontal="center" vertical="center" wrapText="1"/>
    </xf>
    <xf numFmtId="0" fontId="0" fillId="0" borderId="28" xfId="0" applyBorder="1" applyAlignment="1"/>
    <xf numFmtId="0" fontId="0" fillId="0" borderId="5" xfId="0" applyBorder="1" applyAlignment="1"/>
    <xf numFmtId="0" fontId="1" fillId="0" borderId="5" xfId="0" applyFont="1" applyBorder="1" applyAlignment="1">
      <alignment horizontal="center" vertical="center" wrapText="1"/>
    </xf>
    <xf numFmtId="0" fontId="9" fillId="20" borderId="4" xfId="0" applyFont="1" applyFill="1" applyBorder="1" applyAlignment="1">
      <alignment vertical="center" wrapText="1"/>
    </xf>
    <xf numFmtId="0" fontId="0" fillId="20" borderId="5" xfId="0" applyFill="1" applyBorder="1" applyAlignment="1">
      <alignment vertical="center" wrapText="1"/>
    </xf>
    <xf numFmtId="172" fontId="0" fillId="20" borderId="5" xfId="0" applyNumberFormat="1" applyFill="1" applyBorder="1" applyAlignment="1">
      <alignment vertical="center" wrapText="1"/>
    </xf>
    <xf numFmtId="0" fontId="7" fillId="20" borderId="5" xfId="0" applyFont="1" applyFill="1" applyBorder="1" applyAlignment="1">
      <alignment horizontal="center" vertical="center" wrapText="1"/>
    </xf>
    <xf numFmtId="0" fontId="1" fillId="20" borderId="5" xfId="0" applyFont="1" applyFill="1" applyBorder="1" applyAlignment="1">
      <alignment horizontal="center" vertical="center" wrapText="1"/>
    </xf>
    <xf numFmtId="0" fontId="0" fillId="20" borderId="5" xfId="0" applyFill="1" applyBorder="1" applyAlignment="1"/>
    <xf numFmtId="14" fontId="0" fillId="0" borderId="7" xfId="0" applyNumberFormat="1" applyBorder="1" applyAlignment="1">
      <alignment vertical="center" wrapText="1"/>
    </xf>
    <xf numFmtId="0" fontId="0" fillId="0" borderId="7" xfId="0" applyBorder="1" applyAlignment="1">
      <alignment vertical="center" wrapText="1"/>
    </xf>
    <xf numFmtId="172" fontId="0" fillId="0" borderId="7" xfId="0" applyNumberFormat="1" applyBorder="1" applyAlignment="1">
      <alignment vertical="center" wrapText="1"/>
    </xf>
    <xf numFmtId="168" fontId="0" fillId="0" borderId="7" xfId="0" applyNumberFormat="1" applyBorder="1" applyAlignment="1">
      <alignment vertical="center" wrapText="1"/>
    </xf>
    <xf numFmtId="167" fontId="0" fillId="0" borderId="7" xfId="0" applyNumberFormat="1" applyBorder="1" applyAlignment="1">
      <alignment vertical="center" wrapText="1"/>
    </xf>
    <xf numFmtId="169" fontId="0" fillId="0" borderId="7" xfId="0" applyNumberFormat="1" applyBorder="1" applyAlignment="1">
      <alignment vertical="center" wrapText="1"/>
    </xf>
    <xf numFmtId="170" fontId="0" fillId="0" borderId="7" xfId="0" applyNumberFormat="1" applyBorder="1" applyAlignment="1">
      <alignment vertical="center" wrapText="1"/>
    </xf>
    <xf numFmtId="171" fontId="0" fillId="0" borderId="7" xfId="0" applyNumberFormat="1" applyBorder="1" applyAlignment="1">
      <alignment vertical="center" wrapText="1"/>
    </xf>
    <xf numFmtId="14" fontId="9" fillId="20" borderId="4" xfId="0" applyNumberFormat="1" applyFont="1" applyFill="1" applyBorder="1" applyAlignment="1">
      <alignment vertical="center" wrapText="1"/>
    </xf>
    <xf numFmtId="168" fontId="0" fillId="20" borderId="5" xfId="0" applyNumberFormat="1" applyFill="1" applyBorder="1" applyAlignment="1">
      <alignment vertical="center" wrapText="1"/>
    </xf>
    <xf numFmtId="167" fontId="0" fillId="20" borderId="5" xfId="0" applyNumberFormat="1" applyFill="1" applyBorder="1" applyAlignment="1">
      <alignment vertical="center" wrapText="1"/>
    </xf>
    <xf numFmtId="169" fontId="0" fillId="20" borderId="5" xfId="0" applyNumberFormat="1" applyFill="1" applyBorder="1" applyAlignment="1">
      <alignment vertical="center" wrapText="1"/>
    </xf>
    <xf numFmtId="170" fontId="0" fillId="20" borderId="5" xfId="0" applyNumberFormat="1" applyFill="1" applyBorder="1" applyAlignment="1">
      <alignment vertical="center" wrapText="1"/>
    </xf>
    <xf numFmtId="171" fontId="0" fillId="20" borderId="5" xfId="0" applyNumberFormat="1" applyFill="1" applyBorder="1" applyAlignment="1">
      <alignment vertical="center" wrapText="1"/>
    </xf>
    <xf numFmtId="0" fontId="0" fillId="20" borderId="29" xfId="0" applyFill="1" applyBorder="1" applyAlignment="1">
      <alignment vertical="center" wrapText="1"/>
    </xf>
    <xf numFmtId="14" fontId="0" fillId="0" borderId="37" xfId="0" applyNumberFormat="1" applyBorder="1" applyAlignment="1">
      <alignment vertical="center" wrapText="1"/>
    </xf>
    <xf numFmtId="0" fontId="0" fillId="0" borderId="37" xfId="0" applyBorder="1" applyAlignment="1">
      <alignment vertical="center" wrapText="1"/>
    </xf>
    <xf numFmtId="172" fontId="0" fillId="0" borderId="37" xfId="0" applyNumberFormat="1" applyBorder="1" applyAlignment="1">
      <alignment vertical="center" wrapText="1"/>
    </xf>
    <xf numFmtId="168" fontId="0" fillId="0" borderId="37" xfId="0" applyNumberFormat="1" applyBorder="1" applyAlignment="1">
      <alignment vertical="center" wrapText="1"/>
    </xf>
    <xf numFmtId="167" fontId="0" fillId="0" borderId="37" xfId="0" applyNumberFormat="1" applyBorder="1" applyAlignment="1">
      <alignment vertical="center" wrapText="1"/>
    </xf>
    <xf numFmtId="169" fontId="0" fillId="0" borderId="37" xfId="0" applyNumberFormat="1" applyBorder="1" applyAlignment="1">
      <alignment vertical="center" wrapText="1"/>
    </xf>
    <xf numFmtId="170" fontId="0" fillId="0" borderId="37" xfId="0" applyNumberFormat="1" applyBorder="1" applyAlignment="1">
      <alignment vertical="center" wrapText="1"/>
    </xf>
    <xf numFmtId="171" fontId="0" fillId="0" borderId="37" xfId="0" applyNumberFormat="1" applyBorder="1" applyAlignment="1">
      <alignment vertical="center" wrapText="1"/>
    </xf>
    <xf numFmtId="14" fontId="4" fillId="20" borderId="37" xfId="0" applyNumberFormat="1" applyFont="1" applyFill="1" applyBorder="1" applyAlignment="1">
      <alignment vertical="center" wrapText="1"/>
    </xf>
    <xf numFmtId="20" fontId="0" fillId="0" borderId="37" xfId="0" applyNumberFormat="1" applyBorder="1" applyAlignment="1">
      <alignment vertical="center" wrapText="1"/>
    </xf>
    <xf numFmtId="0" fontId="0" fillId="0" borderId="4" xfId="0" applyBorder="1" applyAlignment="1">
      <alignment vertical="center" wrapText="1"/>
    </xf>
    <xf numFmtId="0" fontId="0" fillId="2" borderId="7" xfId="0" applyFill="1" applyBorder="1" applyAlignment="1">
      <alignment horizontal="center"/>
    </xf>
    <xf numFmtId="0" fontId="0" fillId="2" borderId="37" xfId="0" applyFill="1" applyBorder="1"/>
    <xf numFmtId="0" fontId="0" fillId="0" borderId="7" xfId="0" applyBorder="1" applyAlignment="1">
      <alignment horizontal="center" vertical="center" wrapText="1"/>
    </xf>
    <xf numFmtId="0" fontId="0" fillId="2" borderId="7" xfId="0" applyNumberFormat="1" applyFont="1" applyFill="1" applyBorder="1" applyAlignment="1">
      <alignment horizontal="center"/>
    </xf>
    <xf numFmtId="0" fontId="0" fillId="17" borderId="7" xfId="0" applyFill="1" applyBorder="1" applyAlignment="1">
      <alignment horizontal="center" vertical="center" wrapText="1"/>
    </xf>
    <xf numFmtId="0" fontId="0" fillId="13" borderId="7" xfId="0" applyFill="1" applyBorder="1" applyAlignment="1">
      <alignment horizontal="center" vertical="center" wrapText="1"/>
    </xf>
    <xf numFmtId="14" fontId="4" fillId="20" borderId="4" xfId="0" applyNumberFormat="1" applyFont="1" applyFill="1" applyBorder="1" applyAlignment="1">
      <alignment vertical="center" wrapText="1"/>
    </xf>
    <xf numFmtId="172" fontId="0" fillId="0" borderId="5" xfId="0" applyNumberFormat="1" applyBorder="1" applyAlignment="1">
      <alignment vertical="center" wrapText="1"/>
    </xf>
    <xf numFmtId="168" fontId="0" fillId="0" borderId="5" xfId="0" applyNumberFormat="1" applyBorder="1" applyAlignment="1">
      <alignment vertical="center" wrapText="1"/>
    </xf>
    <xf numFmtId="167" fontId="0" fillId="0" borderId="5" xfId="0" applyNumberFormat="1" applyBorder="1" applyAlignment="1">
      <alignment vertical="center" wrapText="1"/>
    </xf>
    <xf numFmtId="169" fontId="0" fillId="0" borderId="5" xfId="0" applyNumberFormat="1" applyBorder="1" applyAlignment="1">
      <alignment vertical="center" wrapText="1"/>
    </xf>
    <xf numFmtId="170" fontId="0" fillId="0" borderId="5" xfId="0" applyNumberFormat="1" applyBorder="1" applyAlignment="1">
      <alignment vertical="center" wrapText="1"/>
    </xf>
    <xf numFmtId="171" fontId="0" fillId="0" borderId="5" xfId="0" applyNumberFormat="1" applyBorder="1" applyAlignment="1">
      <alignment vertical="center" wrapText="1"/>
    </xf>
    <xf numFmtId="165" fontId="0" fillId="0" borderId="49" xfId="0" applyNumberFormat="1" applyBorder="1"/>
    <xf numFmtId="166" fontId="0" fillId="0" borderId="48" xfId="0" applyNumberFormat="1" applyBorder="1"/>
    <xf numFmtId="166" fontId="0" fillId="0" borderId="49" xfId="0" applyNumberFormat="1" applyBorder="1"/>
    <xf numFmtId="166" fontId="0" fillId="0" borderId="27" xfId="0" applyNumberFormat="1" applyBorder="1"/>
    <xf numFmtId="166" fontId="0" fillId="0" borderId="50" xfId="0" applyNumberFormat="1" applyBorder="1"/>
    <xf numFmtId="173" fontId="7" fillId="28" borderId="4" xfId="0" applyNumberFormat="1" applyFont="1" applyFill="1" applyBorder="1" applyAlignment="1">
      <alignment horizontal="center" vertical="center" wrapText="1"/>
    </xf>
    <xf numFmtId="173" fontId="0" fillId="0" borderId="7" xfId="0" applyNumberFormat="1" applyBorder="1" applyAlignment="1">
      <alignment vertical="center" wrapText="1"/>
    </xf>
    <xf numFmtId="173" fontId="7" fillId="20" borderId="5" xfId="0" applyNumberFormat="1" applyFont="1" applyFill="1" applyBorder="1" applyAlignment="1">
      <alignment horizontal="center" vertical="center" wrapText="1"/>
    </xf>
    <xf numFmtId="173" fontId="0" fillId="20" borderId="5" xfId="0" applyNumberFormat="1" applyFill="1" applyBorder="1" applyAlignment="1">
      <alignment vertical="center" wrapText="1"/>
    </xf>
    <xf numFmtId="173" fontId="0" fillId="0" borderId="37" xfId="0" applyNumberFormat="1" applyBorder="1" applyAlignment="1">
      <alignment vertical="center" wrapText="1"/>
    </xf>
    <xf numFmtId="173" fontId="0" fillId="0" borderId="5" xfId="0" applyNumberFormat="1" applyBorder="1" applyAlignment="1">
      <alignment vertical="center" wrapText="1"/>
    </xf>
    <xf numFmtId="173" fontId="0" fillId="0" borderId="7" xfId="0" applyNumberFormat="1" applyBorder="1" applyAlignment="1">
      <alignment horizontal="center" vertical="center" wrapText="1"/>
    </xf>
    <xf numFmtId="173" fontId="2" fillId="2" borderId="7" xfId="0" applyNumberFormat="1" applyFont="1" applyFill="1" applyBorder="1" applyAlignment="1">
      <alignment horizontal="center"/>
    </xf>
    <xf numFmtId="164" fontId="0" fillId="0" borderId="21" xfId="0" applyNumberFormat="1" applyBorder="1"/>
    <xf numFmtId="164" fontId="0" fillId="0" borderId="32" xfId="0" applyNumberFormat="1" applyBorder="1"/>
    <xf numFmtId="0" fontId="1" fillId="0" borderId="31" xfId="0" applyFont="1" applyBorder="1" applyAlignment="1">
      <alignment horizontal="center" vertical="center"/>
    </xf>
    <xf numFmtId="0" fontId="0" fillId="20" borderId="18" xfId="0" applyFont="1" applyFill="1" applyBorder="1"/>
    <xf numFmtId="0" fontId="0" fillId="20" borderId="9" xfId="0" applyFont="1" applyFill="1" applyBorder="1"/>
    <xf numFmtId="0" fontId="0" fillId="20" borderId="9" xfId="0" applyFill="1" applyBorder="1"/>
    <xf numFmtId="0" fontId="0" fillId="20" borderId="19" xfId="0" applyFont="1" applyFill="1" applyBorder="1"/>
    <xf numFmtId="0" fontId="0" fillId="20" borderId="18" xfId="0" applyFill="1" applyBorder="1"/>
    <xf numFmtId="0" fontId="0" fillId="20" borderId="18" xfId="0" applyFill="1" applyBorder="1" applyAlignment="1">
      <alignment wrapText="1"/>
    </xf>
    <xf numFmtId="0" fontId="0" fillId="20" borderId="8" xfId="0" applyFont="1" applyFill="1" applyBorder="1" applyAlignment="1">
      <alignment wrapText="1"/>
    </xf>
    <xf numFmtId="0" fontId="0" fillId="20" borderId="9" xfId="0" applyFont="1" applyFill="1" applyBorder="1" applyAlignment="1">
      <alignment wrapText="1"/>
    </xf>
    <xf numFmtId="0" fontId="0" fillId="20" borderId="19" xfId="0" applyFill="1" applyBorder="1" applyAlignment="1">
      <alignment wrapText="1"/>
    </xf>
    <xf numFmtId="0" fontId="0" fillId="20" borderId="9" xfId="0" applyFill="1" applyBorder="1" applyAlignment="1">
      <alignment wrapText="1"/>
    </xf>
    <xf numFmtId="0" fontId="0" fillId="0" borderId="40" xfId="0" applyBorder="1"/>
    <xf numFmtId="0" fontId="0" fillId="2" borderId="39" xfId="0" applyFill="1" applyBorder="1" applyAlignment="1">
      <alignment wrapText="1"/>
    </xf>
    <xf numFmtId="0" fontId="0" fillId="0" borderId="24" xfId="0" applyBorder="1"/>
    <xf numFmtId="0" fontId="0" fillId="2" borderId="30" xfId="0" applyFill="1" applyBorder="1" applyAlignment="1">
      <alignment wrapText="1"/>
    </xf>
    <xf numFmtId="0" fontId="0" fillId="2" borderId="23" xfId="0" applyFill="1" applyBorder="1" applyAlignment="1">
      <alignment wrapText="1"/>
    </xf>
    <xf numFmtId="0" fontId="0" fillId="0" borderId="23" xfId="0" applyBorder="1" applyAlignment="1">
      <alignment wrapText="1"/>
    </xf>
    <xf numFmtId="0" fontId="0" fillId="0" borderId="16" xfId="0" applyBorder="1"/>
    <xf numFmtId="0" fontId="0" fillId="0" borderId="13" xfId="0" applyBorder="1" applyAlignment="1">
      <alignment wrapText="1"/>
    </xf>
    <xf numFmtId="0" fontId="0" fillId="2" borderId="44" xfId="0" applyFill="1" applyBorder="1" applyAlignment="1">
      <alignment wrapText="1"/>
    </xf>
    <xf numFmtId="0" fontId="0" fillId="0" borderId="7" xfId="0" applyBorder="1" applyAlignment="1">
      <alignment wrapText="1"/>
    </xf>
    <xf numFmtId="0" fontId="1" fillId="2" borderId="33" xfId="0" applyFont="1" applyFill="1" applyBorder="1" applyAlignment="1">
      <alignment horizontal="left" vertical="center"/>
    </xf>
    <xf numFmtId="164" fontId="0" fillId="2" borderId="4" xfId="0" applyNumberFormat="1" applyFill="1" applyBorder="1"/>
    <xf numFmtId="164" fontId="0" fillId="2" borderId="5" xfId="0" applyNumberFormat="1" applyFill="1" applyBorder="1"/>
    <xf numFmtId="164" fontId="0" fillId="2" borderId="6" xfId="0" applyNumberFormat="1" applyFill="1" applyBorder="1"/>
    <xf numFmtId="166" fontId="0" fillId="2" borderId="28" xfId="0" applyNumberFormat="1" applyFill="1" applyBorder="1"/>
    <xf numFmtId="166" fontId="0" fillId="2" borderId="5" xfId="0" applyNumberFormat="1" applyFill="1" applyBorder="1"/>
    <xf numFmtId="166" fontId="0" fillId="2" borderId="29" xfId="0" applyNumberFormat="1" applyFill="1" applyBorder="1"/>
    <xf numFmtId="165" fontId="0" fillId="2" borderId="4" xfId="0" applyNumberFormat="1" applyFill="1" applyBorder="1"/>
    <xf numFmtId="165" fontId="0" fillId="2" borderId="5" xfId="0" applyNumberFormat="1" applyFill="1" applyBorder="1"/>
    <xf numFmtId="167" fontId="0" fillId="2" borderId="5" xfId="0" applyNumberFormat="1" applyFill="1" applyBorder="1"/>
    <xf numFmtId="170" fontId="0" fillId="2" borderId="5" xfId="0" applyNumberFormat="1" applyFill="1" applyBorder="1"/>
    <xf numFmtId="171" fontId="0" fillId="2" borderId="5" xfId="0" applyNumberFormat="1" applyFill="1" applyBorder="1"/>
    <xf numFmtId="0" fontId="0" fillId="2" borderId="5" xfId="0" applyFill="1" applyBorder="1"/>
    <xf numFmtId="174" fontId="0" fillId="2" borderId="5" xfId="0" applyNumberFormat="1" applyFill="1" applyBorder="1"/>
    <xf numFmtId="167" fontId="0" fillId="2" borderId="4" xfId="0" applyNumberFormat="1" applyFill="1" applyBorder="1"/>
    <xf numFmtId="165" fontId="0" fillId="2" borderId="29" xfId="0" applyNumberFormat="1" applyFill="1" applyBorder="1"/>
    <xf numFmtId="169" fontId="0" fillId="2" borderId="28" xfId="0" applyNumberFormat="1" applyFill="1" applyBorder="1"/>
    <xf numFmtId="0" fontId="0" fillId="0" borderId="48" xfId="0" applyBorder="1" applyAlignment="1">
      <alignment horizontal="left" vertical="center" wrapText="1"/>
    </xf>
    <xf numFmtId="165" fontId="0" fillId="0" borderId="52" xfId="0" applyNumberFormat="1" applyBorder="1"/>
    <xf numFmtId="0" fontId="0" fillId="2" borderId="36" xfId="0" applyFill="1" applyBorder="1" applyAlignment="1">
      <alignment wrapText="1"/>
    </xf>
    <xf numFmtId="0" fontId="0" fillId="2" borderId="21" xfId="0" applyFill="1" applyBorder="1" applyAlignment="1">
      <alignment wrapText="1"/>
    </xf>
    <xf numFmtId="0" fontId="0" fillId="0" borderId="21" xfId="0" applyBorder="1" applyAlignment="1">
      <alignment wrapText="1"/>
    </xf>
    <xf numFmtId="0" fontId="0" fillId="0" borderId="32" xfId="0" applyBorder="1" applyAlignment="1">
      <alignment wrapText="1"/>
    </xf>
    <xf numFmtId="0" fontId="0" fillId="0" borderId="21" xfId="0" applyBorder="1"/>
    <xf numFmtId="164" fontId="0" fillId="2" borderId="7" xfId="0" applyNumberFormat="1" applyFill="1" applyBorder="1" applyAlignment="1">
      <alignment horizontal="right"/>
    </xf>
    <xf numFmtId="164" fontId="0" fillId="2" borderId="23" xfId="0" applyNumberFormat="1" applyFill="1" applyBorder="1" applyAlignment="1">
      <alignment horizontal="right"/>
    </xf>
    <xf numFmtId="164" fontId="0" fillId="2" borderId="24" xfId="0" applyNumberFormat="1" applyFill="1" applyBorder="1" applyAlignment="1">
      <alignment horizontal="right"/>
    </xf>
    <xf numFmtId="166" fontId="0" fillId="2" borderId="21" xfId="0" applyNumberFormat="1" applyFill="1" applyBorder="1" applyAlignment="1">
      <alignment horizontal="right"/>
    </xf>
    <xf numFmtId="174" fontId="0" fillId="2" borderId="7" xfId="0" applyNumberFormat="1" applyFill="1" applyBorder="1" applyAlignment="1">
      <alignment horizontal="right"/>
    </xf>
    <xf numFmtId="166" fontId="0" fillId="2" borderId="7" xfId="0" applyNumberFormat="1" applyFill="1" applyBorder="1" applyAlignment="1">
      <alignment horizontal="right"/>
    </xf>
    <xf numFmtId="166" fontId="0" fillId="2" borderId="20" xfId="0" applyNumberFormat="1" applyFill="1" applyBorder="1" applyAlignment="1">
      <alignment horizontal="right"/>
    </xf>
    <xf numFmtId="165" fontId="0" fillId="2" borderId="23" xfId="0" applyNumberFormat="1" applyFill="1" applyBorder="1" applyAlignment="1">
      <alignment horizontal="right"/>
    </xf>
    <xf numFmtId="165" fontId="0" fillId="2" borderId="7" xfId="0" applyNumberFormat="1" applyFill="1" applyBorder="1" applyAlignment="1">
      <alignment horizontal="right"/>
    </xf>
    <xf numFmtId="165" fontId="0" fillId="2" borderId="20" xfId="0" applyNumberFormat="1" applyFill="1" applyBorder="1" applyAlignment="1">
      <alignment horizontal="right"/>
    </xf>
    <xf numFmtId="167" fontId="0" fillId="2" borderId="11" xfId="0" applyNumberFormat="1" applyFill="1" applyBorder="1" applyAlignment="1">
      <alignment horizontal="right"/>
    </xf>
    <xf numFmtId="167" fontId="0" fillId="2" borderId="12" xfId="0" applyNumberFormat="1" applyFill="1" applyBorder="1" applyAlignment="1">
      <alignment horizontal="right"/>
    </xf>
    <xf numFmtId="169" fontId="0" fillId="2" borderId="27" xfId="0" applyNumberFormat="1" applyFill="1" applyBorder="1" applyAlignment="1">
      <alignment horizontal="right"/>
    </xf>
    <xf numFmtId="170" fontId="0" fillId="2" borderId="27" xfId="0" applyNumberFormat="1" applyFill="1" applyBorder="1" applyAlignment="1">
      <alignment horizontal="right"/>
    </xf>
    <xf numFmtId="170" fontId="0" fillId="2" borderId="25" xfId="0" applyNumberFormat="1" applyFill="1" applyBorder="1" applyAlignment="1">
      <alignment horizontal="right"/>
    </xf>
    <xf numFmtId="171" fontId="0" fillId="2" borderId="25" xfId="0" applyNumberFormat="1" applyFill="1" applyBorder="1" applyAlignment="1">
      <alignment horizontal="right"/>
    </xf>
    <xf numFmtId="171" fontId="0" fillId="2" borderId="40" xfId="0" applyNumberFormat="1" applyFill="1" applyBorder="1" applyAlignment="1">
      <alignment horizontal="right" wrapText="1"/>
    </xf>
    <xf numFmtId="0" fontId="0" fillId="2" borderId="27" xfId="0" applyFill="1" applyBorder="1" applyAlignment="1">
      <alignment horizontal="right" wrapText="1"/>
    </xf>
    <xf numFmtId="0" fontId="0" fillId="2" borderId="25" xfId="0" applyFill="1" applyBorder="1" applyAlignment="1">
      <alignment horizontal="right"/>
    </xf>
    <xf numFmtId="167" fontId="0" fillId="2" borderId="23" xfId="0" applyNumberFormat="1" applyFill="1" applyBorder="1" applyAlignment="1">
      <alignment horizontal="right"/>
    </xf>
    <xf numFmtId="167" fontId="0" fillId="2" borderId="7" xfId="0" applyNumberFormat="1" applyFill="1" applyBorder="1" applyAlignment="1">
      <alignment horizontal="right"/>
    </xf>
    <xf numFmtId="169" fontId="0" fillId="2" borderId="21" xfId="0" applyNumberFormat="1" applyFill="1" applyBorder="1" applyAlignment="1">
      <alignment horizontal="right"/>
    </xf>
    <xf numFmtId="170" fontId="0" fillId="2" borderId="21" xfId="0" applyNumberFormat="1" applyFill="1" applyBorder="1" applyAlignment="1">
      <alignment horizontal="right"/>
    </xf>
    <xf numFmtId="170" fontId="0" fillId="2" borderId="7" xfId="0" applyNumberFormat="1" applyFill="1" applyBorder="1" applyAlignment="1">
      <alignment horizontal="right"/>
    </xf>
    <xf numFmtId="171" fontId="0" fillId="2" borderId="7" xfId="0" applyNumberFormat="1" applyFill="1" applyBorder="1" applyAlignment="1">
      <alignment horizontal="right"/>
    </xf>
    <xf numFmtId="171" fontId="0" fillId="2" borderId="24" xfId="0" applyNumberFormat="1" applyFill="1" applyBorder="1" applyAlignment="1">
      <alignment horizontal="right"/>
    </xf>
    <xf numFmtId="0" fontId="0" fillId="2" borderId="21" xfId="0" applyFill="1" applyBorder="1" applyAlignment="1">
      <alignment horizontal="right"/>
    </xf>
    <xf numFmtId="0" fontId="0" fillId="2" borderId="7" xfId="0" applyFill="1" applyBorder="1" applyAlignment="1">
      <alignment horizontal="right"/>
    </xf>
    <xf numFmtId="164" fontId="0" fillId="2" borderId="30" xfId="0" applyNumberFormat="1" applyFill="1" applyBorder="1" applyAlignment="1">
      <alignment horizontal="right"/>
    </xf>
    <xf numFmtId="164" fontId="0" fillId="2" borderId="52" xfId="0" applyNumberFormat="1" applyFill="1" applyBorder="1" applyAlignment="1">
      <alignment horizontal="right"/>
    </xf>
    <xf numFmtId="165" fontId="0" fillId="2" borderId="30" xfId="0" applyNumberFormat="1" applyFill="1" applyBorder="1" applyAlignment="1">
      <alignment horizontal="right"/>
    </xf>
    <xf numFmtId="165" fontId="0" fillId="2" borderId="36" xfId="0" applyNumberFormat="1" applyFill="1" applyBorder="1" applyAlignment="1">
      <alignment horizontal="right"/>
    </xf>
    <xf numFmtId="164" fontId="0" fillId="2" borderId="21" xfId="0" applyNumberFormat="1" applyFill="1" applyBorder="1" applyAlignment="1">
      <alignment horizontal="right"/>
    </xf>
    <xf numFmtId="167" fontId="0" fillId="2" borderId="21" xfId="0" applyNumberFormat="1" applyFill="1" applyBorder="1" applyAlignment="1">
      <alignment horizontal="right"/>
    </xf>
    <xf numFmtId="0" fontId="0" fillId="2" borderId="26" xfId="0" applyFill="1" applyBorder="1" applyAlignment="1">
      <alignment horizontal="left"/>
    </xf>
    <xf numFmtId="0" fontId="0" fillId="2" borderId="20" xfId="0" applyFill="1" applyBorder="1" applyAlignment="1">
      <alignment horizontal="left"/>
    </xf>
    <xf numFmtId="0" fontId="0" fillId="2" borderId="15" xfId="0" applyFill="1" applyBorder="1" applyAlignment="1">
      <alignment horizontal="center"/>
    </xf>
    <xf numFmtId="0" fontId="0" fillId="2" borderId="24" xfId="0" applyFill="1" applyBorder="1" applyAlignment="1">
      <alignment horizontal="center"/>
    </xf>
    <xf numFmtId="164" fontId="0" fillId="2" borderId="6" xfId="0" applyNumberFormat="1" applyFill="1" applyBorder="1" applyAlignment="1">
      <alignment horizontal="center"/>
    </xf>
    <xf numFmtId="164" fontId="0" fillId="0" borderId="38" xfId="0" applyNumberFormat="1" applyFill="1" applyBorder="1"/>
    <xf numFmtId="1" fontId="0" fillId="0" borderId="41" xfId="0" applyNumberFormat="1" applyBorder="1" applyAlignment="1"/>
    <xf numFmtId="1" fontId="0" fillId="23" borderId="28" xfId="0" applyNumberFormat="1" applyFill="1" applyBorder="1"/>
    <xf numFmtId="1" fontId="0" fillId="0" borderId="37" xfId="0" applyNumberFormat="1" applyBorder="1" applyAlignment="1"/>
    <xf numFmtId="1" fontId="0" fillId="23" borderId="4" xfId="0" applyNumberFormat="1" applyFill="1" applyBorder="1"/>
    <xf numFmtId="170" fontId="0" fillId="0" borderId="5" xfId="0" applyNumberFormat="1" applyFont="1" applyBorder="1" applyAlignment="1">
      <alignment vertical="center" wrapText="1"/>
    </xf>
    <xf numFmtId="170" fontId="0" fillId="0" borderId="6" xfId="0" applyNumberFormat="1" applyFont="1" applyBorder="1" applyAlignment="1">
      <alignment vertical="center" wrapText="1"/>
    </xf>
    <xf numFmtId="1" fontId="0" fillId="23" borderId="35" xfId="0" applyNumberFormat="1" applyFill="1" applyBorder="1" applyAlignment="1"/>
    <xf numFmtId="164" fontId="0" fillId="0" borderId="53" xfId="0" applyNumberFormat="1" applyFont="1" applyBorder="1" applyAlignment="1">
      <alignment horizontal="left" vertical="center" wrapText="1"/>
    </xf>
    <xf numFmtId="164" fontId="0" fillId="0" borderId="48" xfId="0" applyNumberFormat="1" applyFont="1" applyBorder="1" applyAlignment="1">
      <alignment horizontal="left" vertical="center" wrapText="1"/>
    </xf>
    <xf numFmtId="164" fontId="0" fillId="0" borderId="54" xfId="0" applyNumberFormat="1" applyFont="1" applyBorder="1" applyAlignment="1">
      <alignment horizontal="left" vertical="center" wrapText="1"/>
    </xf>
    <xf numFmtId="164" fontId="0" fillId="0" borderId="53" xfId="0" applyNumberFormat="1" applyBorder="1" applyAlignment="1">
      <alignment horizontal="left" vertical="center" wrapText="1"/>
    </xf>
    <xf numFmtId="0" fontId="0" fillId="0" borderId="48" xfId="0" applyBorder="1" applyAlignment="1">
      <alignment vertical="center" wrapText="1"/>
    </xf>
    <xf numFmtId="0" fontId="0" fillId="0" borderId="48" xfId="0" applyFont="1" applyBorder="1" applyAlignment="1">
      <alignment horizontal="left" vertical="center" wrapText="1"/>
    </xf>
    <xf numFmtId="0" fontId="1" fillId="2" borderId="34" xfId="0" applyFont="1" applyFill="1" applyBorder="1"/>
    <xf numFmtId="171" fontId="0" fillId="0" borderId="50" xfId="0" applyNumberFormat="1" applyFont="1" applyBorder="1" applyAlignment="1">
      <alignment horizontal="left" vertical="center" wrapText="1"/>
    </xf>
    <xf numFmtId="0" fontId="1" fillId="2" borderId="28" xfId="0" applyFont="1" applyFill="1" applyBorder="1"/>
    <xf numFmtId="168" fontId="0" fillId="0" borderId="5" xfId="0" applyNumberFormat="1" applyBorder="1" applyAlignment="1">
      <alignment horizontal="left" vertical="center" wrapText="1"/>
    </xf>
    <xf numFmtId="164" fontId="0" fillId="0" borderId="4" xfId="0" applyNumberFormat="1" applyFont="1" applyBorder="1"/>
    <xf numFmtId="164" fontId="0" fillId="0" borderId="6" xfId="0" applyNumberFormat="1" applyBorder="1"/>
    <xf numFmtId="1" fontId="0" fillId="0" borderId="26" xfId="0" applyNumberFormat="1" applyBorder="1" applyAlignment="1"/>
    <xf numFmtId="1" fontId="0" fillId="0" borderId="20" xfId="0" applyNumberFormat="1" applyBorder="1" applyAlignment="1"/>
    <xf numFmtId="1" fontId="0" fillId="0" borderId="42" xfId="0" applyNumberFormat="1" applyBorder="1" applyAlignment="1"/>
    <xf numFmtId="1" fontId="0" fillId="23" borderId="29" xfId="0" applyNumberFormat="1" applyFill="1" applyBorder="1" applyAlignment="1"/>
    <xf numFmtId="0" fontId="0" fillId="0" borderId="23" xfId="0" applyBorder="1" applyAlignment="1"/>
    <xf numFmtId="164" fontId="0" fillId="0" borderId="55" xfId="0" applyNumberFormat="1" applyBorder="1"/>
    <xf numFmtId="0" fontId="0" fillId="0" borderId="14" xfId="0" applyBorder="1"/>
    <xf numFmtId="49" fontId="1" fillId="9" borderId="10" xfId="0" applyNumberFormat="1" applyFont="1" applyFill="1" applyBorder="1" applyAlignment="1">
      <alignment wrapText="1"/>
    </xf>
    <xf numFmtId="49" fontId="0" fillId="20" borderId="10" xfId="0" applyNumberFormat="1" applyFill="1" applyBorder="1" applyAlignment="1">
      <alignment horizontal="center" wrapText="1"/>
    </xf>
    <xf numFmtId="49" fontId="0" fillId="2" borderId="43" xfId="0" applyNumberFormat="1" applyFill="1" applyBorder="1" applyAlignment="1">
      <alignment wrapText="1"/>
    </xf>
    <xf numFmtId="49" fontId="0" fillId="2" borderId="22" xfId="0" applyNumberFormat="1" applyFill="1" applyBorder="1" applyAlignment="1">
      <alignment wrapText="1"/>
    </xf>
    <xf numFmtId="49" fontId="0" fillId="0" borderId="22" xfId="0" applyNumberFormat="1" applyBorder="1" applyAlignment="1">
      <alignment wrapText="1"/>
    </xf>
    <xf numFmtId="49" fontId="0" fillId="0" borderId="17" xfId="0" applyNumberFormat="1" applyBorder="1" applyAlignment="1">
      <alignment wrapText="1"/>
    </xf>
    <xf numFmtId="49" fontId="0" fillId="0" borderId="22" xfId="0" applyNumberFormat="1" applyBorder="1" applyAlignment="1"/>
    <xf numFmtId="49" fontId="0" fillId="0" borderId="47" xfId="0" applyNumberFormat="1" applyBorder="1" applyAlignment="1">
      <alignment wrapText="1"/>
    </xf>
    <xf numFmtId="0" fontId="0" fillId="0" borderId="25" xfId="0" applyBorder="1" applyAlignment="1">
      <alignment vertical="center" wrapText="1"/>
    </xf>
    <xf numFmtId="0" fontId="0" fillId="2" borderId="25" xfId="0" applyFill="1" applyBorder="1"/>
    <xf numFmtId="173" fontId="0" fillId="0" borderId="25" xfId="0" applyNumberFormat="1" applyBorder="1" applyAlignment="1">
      <alignment vertical="center" wrapText="1"/>
    </xf>
    <xf numFmtId="0" fontId="4" fillId="20" borderId="4" xfId="0" applyFont="1" applyFill="1" applyBorder="1" applyAlignment="1">
      <alignment vertical="center" wrapText="1"/>
    </xf>
    <xf numFmtId="49" fontId="0" fillId="0" borderId="22" xfId="0" applyNumberFormat="1" applyBorder="1" applyAlignment="1">
      <alignment horizontal="left" wrapText="1"/>
    </xf>
    <xf numFmtId="164" fontId="0" fillId="0" borderId="23" xfId="0" applyNumberFormat="1" applyBorder="1" applyAlignment="1">
      <alignment wrapText="1"/>
    </xf>
    <xf numFmtId="164" fontId="0" fillId="0" borderId="7" xfId="0" applyNumberFormat="1" applyBorder="1" applyAlignment="1">
      <alignment wrapText="1"/>
    </xf>
    <xf numFmtId="164" fontId="0" fillId="0" borderId="24" xfId="0" applyNumberFormat="1" applyBorder="1" applyAlignment="1">
      <alignment wrapText="1"/>
    </xf>
    <xf numFmtId="166" fontId="0" fillId="0" borderId="23" xfId="0" applyNumberFormat="1" applyBorder="1" applyAlignment="1">
      <alignment wrapText="1"/>
    </xf>
    <xf numFmtId="166" fontId="0" fillId="0" borderId="7" xfId="0" applyNumberFormat="1" applyBorder="1" applyAlignment="1">
      <alignment wrapText="1"/>
    </xf>
    <xf numFmtId="166" fontId="0" fillId="0" borderId="24" xfId="0" applyNumberFormat="1" applyBorder="1" applyAlignment="1">
      <alignment wrapText="1"/>
    </xf>
    <xf numFmtId="165" fontId="0" fillId="0" borderId="23" xfId="0" applyNumberFormat="1" applyBorder="1" applyAlignment="1">
      <alignment wrapText="1"/>
    </xf>
    <xf numFmtId="165" fontId="0" fillId="0" borderId="7" xfId="0" applyNumberFormat="1" applyBorder="1" applyAlignment="1">
      <alignment wrapText="1"/>
    </xf>
    <xf numFmtId="165" fontId="0" fillId="0" borderId="24" xfId="0" applyNumberFormat="1" applyBorder="1" applyAlignment="1">
      <alignment wrapText="1"/>
    </xf>
    <xf numFmtId="167" fontId="0" fillId="0" borderId="23" xfId="0" applyNumberFormat="1" applyBorder="1" applyAlignment="1">
      <alignment wrapText="1"/>
    </xf>
    <xf numFmtId="167" fontId="0" fillId="0" borderId="21" xfId="0" applyNumberFormat="1" applyBorder="1" applyAlignment="1">
      <alignment wrapText="1"/>
    </xf>
    <xf numFmtId="167" fontId="0" fillId="0" borderId="7" xfId="0" applyNumberFormat="1" applyBorder="1" applyAlignment="1">
      <alignment wrapText="1"/>
    </xf>
    <xf numFmtId="0" fontId="0" fillId="0" borderId="24" xfId="0" applyBorder="1" applyAlignment="1">
      <alignment wrapText="1"/>
    </xf>
    <xf numFmtId="169" fontId="0" fillId="0" borderId="7" xfId="0" applyNumberFormat="1" applyBorder="1" applyAlignment="1">
      <alignment wrapText="1"/>
    </xf>
    <xf numFmtId="170" fontId="0" fillId="0" borderId="7" xfId="0" applyNumberFormat="1" applyBorder="1" applyAlignment="1">
      <alignment wrapText="1"/>
    </xf>
    <xf numFmtId="171" fontId="0" fillId="0" borderId="7" xfId="0" applyNumberFormat="1" applyBorder="1" applyAlignment="1">
      <alignment wrapText="1"/>
    </xf>
    <xf numFmtId="171" fontId="0" fillId="0" borderId="24" xfId="0" applyNumberFormat="1" applyBorder="1" applyAlignment="1">
      <alignment wrapText="1"/>
    </xf>
    <xf numFmtId="20" fontId="0" fillId="0" borderId="7" xfId="0" applyNumberFormat="1" applyBorder="1" applyAlignment="1">
      <alignment vertical="center" wrapText="1"/>
    </xf>
    <xf numFmtId="14" fontId="0" fillId="0" borderId="37" xfId="0" applyNumberFormat="1" applyFont="1" applyBorder="1" applyAlignment="1">
      <alignment vertical="center" wrapText="1"/>
    </xf>
    <xf numFmtId="165" fontId="0" fillId="0" borderId="5" xfId="0" applyNumberFormat="1" applyBorder="1" applyAlignment="1">
      <alignment horizontal="left" vertical="center" wrapText="1"/>
    </xf>
    <xf numFmtId="167" fontId="0" fillId="0" borderId="6" xfId="0" applyNumberFormat="1" applyBorder="1" applyAlignment="1">
      <alignment vertical="center" wrapText="1"/>
    </xf>
    <xf numFmtId="164" fontId="0" fillId="0" borderId="54" xfId="0" applyNumberFormat="1" applyBorder="1" applyAlignment="1">
      <alignment horizontal="left" vertical="center" wrapText="1"/>
    </xf>
    <xf numFmtId="164" fontId="0" fillId="0" borderId="5" xfId="0" applyNumberFormat="1" applyBorder="1" applyAlignment="1">
      <alignment horizontal="left" vertical="center" wrapText="1"/>
    </xf>
    <xf numFmtId="165" fontId="0" fillId="0" borderId="5" xfId="0" applyNumberFormat="1" applyBorder="1" applyAlignment="1">
      <alignment vertical="center" wrapText="1"/>
    </xf>
    <xf numFmtId="0" fontId="1" fillId="0" borderId="0" xfId="0" applyFont="1" applyFill="1" applyBorder="1" applyAlignment="1">
      <alignment horizontal="left" vertical="center"/>
    </xf>
    <xf numFmtId="164" fontId="0" fillId="0" borderId="0" xfId="0" applyNumberFormat="1" applyFill="1" applyBorder="1"/>
    <xf numFmtId="166" fontId="0" fillId="0" borderId="0" xfId="0" applyNumberFormat="1" applyFill="1" applyBorder="1"/>
    <xf numFmtId="165" fontId="0" fillId="0" borderId="0" xfId="0" applyNumberFormat="1" applyFill="1" applyBorder="1"/>
    <xf numFmtId="167" fontId="0" fillId="0" borderId="0" xfId="0" applyNumberFormat="1" applyFill="1" applyBorder="1"/>
    <xf numFmtId="168" fontId="0" fillId="0" borderId="0" xfId="0" applyNumberFormat="1" applyFill="1" applyBorder="1"/>
    <xf numFmtId="0" fontId="0" fillId="0" borderId="0" xfId="0" applyFill="1" applyBorder="1"/>
    <xf numFmtId="169" fontId="0" fillId="0" borderId="0" xfId="0" applyNumberFormat="1" applyFill="1" applyBorder="1"/>
    <xf numFmtId="170" fontId="0" fillId="0" borderId="0" xfId="0" applyNumberFormat="1" applyFill="1" applyBorder="1"/>
    <xf numFmtId="171" fontId="0" fillId="0" borderId="0" xfId="0" applyNumberFormat="1" applyFill="1" applyBorder="1"/>
    <xf numFmtId="0" fontId="0" fillId="0" borderId="0" xfId="0" applyFill="1"/>
    <xf numFmtId="164" fontId="0" fillId="0" borderId="0" xfId="0" applyNumberFormat="1" applyFill="1"/>
    <xf numFmtId="166" fontId="0" fillId="0" borderId="0" xfId="0" applyNumberFormat="1" applyFill="1"/>
    <xf numFmtId="165" fontId="0" fillId="0" borderId="0" xfId="0" applyNumberFormat="1" applyFill="1"/>
    <xf numFmtId="167" fontId="0" fillId="0" borderId="0" xfId="0" applyNumberFormat="1" applyFill="1"/>
    <xf numFmtId="168" fontId="0" fillId="0" borderId="0" xfId="0" applyNumberFormat="1" applyFill="1"/>
    <xf numFmtId="169" fontId="0" fillId="0" borderId="0" xfId="0" applyNumberFormat="1" applyFill="1"/>
    <xf numFmtId="170" fontId="0" fillId="0" borderId="0" xfId="0" applyNumberFormat="1" applyFill="1"/>
    <xf numFmtId="171" fontId="0" fillId="0" borderId="0" xfId="0" applyNumberFormat="1" applyFill="1"/>
    <xf numFmtId="167" fontId="0" fillId="0" borderId="11" xfId="0" applyNumberFormat="1" applyBorder="1"/>
    <xf numFmtId="167" fontId="0" fillId="0" borderId="12" xfId="0" applyNumberFormat="1" applyBorder="1"/>
    <xf numFmtId="0" fontId="0" fillId="0" borderId="15" xfId="0" applyBorder="1"/>
    <xf numFmtId="0" fontId="0" fillId="13" borderId="20" xfId="0" applyFill="1" applyBorder="1" applyAlignment="1">
      <alignment horizontal="center" vertical="center" wrapText="1"/>
    </xf>
    <xf numFmtId="0" fontId="0" fillId="22" borderId="20" xfId="0" applyFill="1" applyBorder="1" applyAlignment="1">
      <alignment horizontal="center" wrapText="1"/>
    </xf>
    <xf numFmtId="0" fontId="0" fillId="17" borderId="20" xfId="0" applyFill="1" applyBorder="1" applyAlignment="1">
      <alignment horizontal="center" vertical="center" wrapText="1"/>
    </xf>
    <xf numFmtId="0" fontId="1" fillId="9" borderId="1" xfId="0" applyFont="1" applyFill="1" applyBorder="1" applyAlignment="1">
      <alignment horizontal="center" vertical="center" wrapText="1"/>
    </xf>
    <xf numFmtId="164" fontId="0" fillId="0" borderId="57" xfId="0" applyNumberFormat="1" applyBorder="1"/>
    <xf numFmtId="164" fontId="0" fillId="0" borderId="37" xfId="0" applyNumberFormat="1" applyBorder="1"/>
    <xf numFmtId="164" fontId="0" fillId="0" borderId="42" xfId="0" applyNumberFormat="1" applyBorder="1"/>
    <xf numFmtId="164" fontId="0" fillId="0" borderId="58" xfId="0" applyNumberFormat="1" applyBorder="1"/>
    <xf numFmtId="166" fontId="0" fillId="0" borderId="57" xfId="0" applyNumberFormat="1" applyBorder="1"/>
    <xf numFmtId="166" fontId="0" fillId="0" borderId="37" xfId="0" applyNumberFormat="1" applyBorder="1"/>
    <xf numFmtId="166" fontId="0" fillId="0" borderId="58" xfId="0" applyNumberFormat="1" applyBorder="1"/>
    <xf numFmtId="165" fontId="0" fillId="0" borderId="57" xfId="0" applyNumberFormat="1" applyBorder="1"/>
    <xf numFmtId="165" fontId="0" fillId="0" borderId="37" xfId="0" applyNumberFormat="1" applyBorder="1"/>
    <xf numFmtId="165" fontId="0" fillId="0" borderId="58" xfId="0" applyNumberFormat="1" applyBorder="1"/>
    <xf numFmtId="167" fontId="0" fillId="0" borderId="57" xfId="0" applyNumberFormat="1" applyBorder="1"/>
    <xf numFmtId="167" fontId="0" fillId="0" borderId="41" xfId="0" applyNumberFormat="1" applyBorder="1"/>
    <xf numFmtId="167" fontId="0" fillId="0" borderId="37" xfId="0" applyNumberFormat="1" applyBorder="1"/>
    <xf numFmtId="0" fontId="0" fillId="0" borderId="58" xfId="0" applyBorder="1"/>
    <xf numFmtId="0" fontId="0" fillId="0" borderId="57" xfId="0" applyBorder="1" applyAlignment="1">
      <alignment wrapText="1"/>
    </xf>
    <xf numFmtId="169" fontId="0" fillId="0" borderId="37" xfId="0" applyNumberFormat="1" applyBorder="1"/>
    <xf numFmtId="170" fontId="0" fillId="0" borderId="37" xfId="0" applyNumberFormat="1" applyBorder="1"/>
    <xf numFmtId="171" fontId="0" fillId="0" borderId="37" xfId="0" applyNumberFormat="1" applyBorder="1"/>
    <xf numFmtId="171" fontId="0" fillId="0" borderId="58" xfId="0" applyNumberFormat="1" applyBorder="1"/>
    <xf numFmtId="49" fontId="0" fillId="0" borderId="59" xfId="0" applyNumberFormat="1" applyBorder="1" applyAlignment="1">
      <alignment wrapText="1"/>
    </xf>
    <xf numFmtId="0" fontId="0" fillId="0" borderId="37" xfId="0" applyBorder="1"/>
    <xf numFmtId="164" fontId="0" fillId="0" borderId="11" xfId="0" applyNumberFormat="1" applyBorder="1"/>
    <xf numFmtId="164" fontId="0" fillId="0" borderId="12" xfId="0" applyNumberFormat="1" applyBorder="1"/>
    <xf numFmtId="164" fontId="0" fillId="0" borderId="61" xfId="0" applyNumberFormat="1" applyBorder="1"/>
    <xf numFmtId="164" fontId="0" fillId="0" borderId="15" xfId="0" applyNumberFormat="1" applyBorder="1"/>
    <xf numFmtId="166" fontId="0" fillId="0" borderId="11" xfId="0" applyNumberFormat="1" applyBorder="1"/>
    <xf numFmtId="166" fontId="0" fillId="0" borderId="12" xfId="0" applyNumberFormat="1" applyBorder="1"/>
    <xf numFmtId="166" fontId="0" fillId="0" borderId="15" xfId="0" applyNumberFormat="1" applyBorder="1"/>
    <xf numFmtId="165" fontId="0" fillId="0" borderId="11" xfId="0" applyNumberFormat="1" applyBorder="1"/>
    <xf numFmtId="165" fontId="0" fillId="0" borderId="12" xfId="0" applyNumberFormat="1" applyBorder="1"/>
    <xf numFmtId="165" fontId="0" fillId="0" borderId="15" xfId="0" applyNumberFormat="1" applyBorder="1"/>
    <xf numFmtId="167" fontId="0" fillId="0" borderId="62" xfId="0" applyNumberFormat="1" applyBorder="1"/>
    <xf numFmtId="0" fontId="0" fillId="2" borderId="60" xfId="0" applyFill="1" applyBorder="1" applyAlignment="1">
      <alignment wrapText="1"/>
    </xf>
    <xf numFmtId="169" fontId="0" fillId="2" borderId="12" xfId="0" applyNumberFormat="1" applyFill="1" applyBorder="1"/>
    <xf numFmtId="170" fontId="0" fillId="2" borderId="12" xfId="0" applyNumberFormat="1" applyFill="1" applyBorder="1"/>
    <xf numFmtId="171" fontId="0" fillId="2" borderId="12" xfId="0" applyNumberFormat="1" applyFill="1" applyBorder="1"/>
    <xf numFmtId="171" fontId="0" fillId="2" borderId="15" xfId="0" applyNumberFormat="1" applyFill="1" applyBorder="1"/>
    <xf numFmtId="49" fontId="0" fillId="2" borderId="63" xfId="0" applyNumberFormat="1" applyFill="1" applyBorder="1" applyAlignment="1">
      <alignment wrapText="1"/>
    </xf>
    <xf numFmtId="0" fontId="0" fillId="0" borderId="12" xfId="0" applyBorder="1"/>
    <xf numFmtId="0" fontId="0" fillId="0" borderId="4" xfId="0" applyFont="1" applyBorder="1" applyAlignment="1">
      <alignment horizontal="left" vertical="center" wrapText="1"/>
    </xf>
    <xf numFmtId="49" fontId="0" fillId="2" borderId="7" xfId="0" applyNumberFormat="1" applyFill="1" applyBorder="1" applyAlignment="1">
      <alignment wrapText="1"/>
    </xf>
    <xf numFmtId="169" fontId="0" fillId="0" borderId="28" xfId="0" applyNumberFormat="1" applyBorder="1" applyAlignment="1">
      <alignment vertical="center" wrapText="1"/>
    </xf>
    <xf numFmtId="167" fontId="0" fillId="0" borderId="4" xfId="0" applyNumberFormat="1" applyBorder="1" applyAlignment="1">
      <alignment horizontal="left" vertical="center" wrapText="1"/>
    </xf>
    <xf numFmtId="0" fontId="0" fillId="0" borderId="6" xfId="0" applyBorder="1" applyAlignment="1">
      <alignment horizontal="left" vertical="center" wrapText="1"/>
    </xf>
    <xf numFmtId="173" fontId="0" fillId="0" borderId="7" xfId="0" applyNumberFormat="1" applyBorder="1" applyAlignment="1">
      <alignment vertical="center"/>
    </xf>
    <xf numFmtId="168" fontId="0" fillId="0" borderId="7" xfId="0" applyNumberFormat="1" applyBorder="1" applyAlignment="1">
      <alignment vertical="center"/>
    </xf>
    <xf numFmtId="0" fontId="0" fillId="2" borderId="37" xfId="0" applyFill="1" applyBorder="1" applyAlignment="1">
      <alignment vertical="center" wrapText="1"/>
    </xf>
    <xf numFmtId="0" fontId="0" fillId="2" borderId="37" xfId="0" applyFill="1" applyBorder="1" applyAlignment="1">
      <alignment vertical="center"/>
    </xf>
    <xf numFmtId="14" fontId="0" fillId="0" borderId="56" xfId="0" applyNumberFormat="1" applyBorder="1"/>
    <xf numFmtId="14" fontId="0" fillId="0" borderId="60" xfId="0" applyNumberFormat="1" applyBorder="1"/>
    <xf numFmtId="14" fontId="0" fillId="0" borderId="44" xfId="0" applyNumberFormat="1" applyBorder="1"/>
    <xf numFmtId="14" fontId="0" fillId="0" borderId="64" xfId="0" applyNumberFormat="1" applyBorder="1"/>
    <xf numFmtId="164" fontId="0" fillId="0" borderId="54" xfId="0" applyNumberFormat="1" applyBorder="1"/>
    <xf numFmtId="0" fontId="0" fillId="2" borderId="65" xfId="0" applyFill="1" applyBorder="1" applyAlignment="1">
      <alignment wrapText="1"/>
    </xf>
    <xf numFmtId="164" fontId="0" fillId="0" borderId="62" xfId="0" applyNumberFormat="1" applyBorder="1"/>
    <xf numFmtId="166" fontId="0" fillId="0" borderId="62" xfId="0" applyNumberFormat="1" applyBorder="1"/>
    <xf numFmtId="0" fontId="0" fillId="0" borderId="2" xfId="0" applyBorder="1"/>
    <xf numFmtId="0" fontId="0" fillId="0" borderId="66" xfId="0" applyBorder="1"/>
    <xf numFmtId="0" fontId="1" fillId="4" borderId="1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9" xfId="0" applyFont="1" applyFill="1" applyBorder="1" applyAlignment="1">
      <alignment horizontal="center" vertical="center"/>
    </xf>
    <xf numFmtId="0" fontId="1" fillId="3" borderId="18" xfId="0" applyFont="1" applyFill="1" applyBorder="1" applyAlignment="1">
      <alignment horizontal="center"/>
    </xf>
    <xf numFmtId="0" fontId="1" fillId="3" borderId="9" xfId="0" applyFont="1" applyFill="1" applyBorder="1" applyAlignment="1">
      <alignment horizontal="center"/>
    </xf>
    <xf numFmtId="0" fontId="1" fillId="3" borderId="19" xfId="0" applyFont="1" applyFill="1" applyBorder="1" applyAlignment="1">
      <alignment horizontal="center"/>
    </xf>
    <xf numFmtId="0" fontId="1" fillId="6" borderId="33" xfId="0" applyFont="1" applyFill="1" applyBorder="1" applyAlignment="1">
      <alignment horizontal="center" vertical="center"/>
    </xf>
    <xf numFmtId="0" fontId="0" fillId="0" borderId="34" xfId="0" applyBorder="1"/>
    <xf numFmtId="0" fontId="0" fillId="0" borderId="35" xfId="0" applyBorder="1"/>
    <xf numFmtId="0" fontId="1" fillId="7" borderId="33" xfId="0" applyFont="1" applyFill="1" applyBorder="1" applyAlignment="1">
      <alignment horizontal="center"/>
    </xf>
    <xf numFmtId="0" fontId="1" fillId="7" borderId="34" xfId="0" applyFont="1" applyFill="1" applyBorder="1" applyAlignment="1">
      <alignment horizontal="center"/>
    </xf>
    <xf numFmtId="0" fontId="1" fillId="7" borderId="35" xfId="0" applyFont="1" applyFill="1" applyBorder="1" applyAlignment="1">
      <alignment horizontal="center"/>
    </xf>
    <xf numFmtId="0" fontId="1" fillId="8" borderId="33" xfId="0" applyFont="1" applyFill="1" applyBorder="1" applyAlignment="1">
      <alignment horizontal="center"/>
    </xf>
    <xf numFmtId="0" fontId="1" fillId="8" borderId="34" xfId="0" applyFont="1" applyFill="1" applyBorder="1" applyAlignment="1">
      <alignment horizontal="center"/>
    </xf>
    <xf numFmtId="0" fontId="1" fillId="8" borderId="35" xfId="0" applyFont="1" applyFill="1" applyBorder="1" applyAlignment="1">
      <alignment horizontal="center"/>
    </xf>
    <xf numFmtId="0" fontId="1" fillId="5" borderId="33" xfId="0" applyFont="1" applyFill="1" applyBorder="1" applyAlignment="1">
      <alignment horizontal="center"/>
    </xf>
    <xf numFmtId="0" fontId="1" fillId="5" borderId="34" xfId="0" applyFont="1" applyFill="1" applyBorder="1" applyAlignment="1">
      <alignment horizontal="center"/>
    </xf>
    <xf numFmtId="0" fontId="1" fillId="5" borderId="35" xfId="0" applyFont="1" applyFill="1" applyBorder="1" applyAlignment="1">
      <alignment horizontal="center"/>
    </xf>
    <xf numFmtId="0" fontId="1" fillId="29" borderId="10" xfId="0" applyFont="1" applyFill="1" applyBorder="1" applyAlignment="1">
      <alignment horizontal="center" vertical="center" wrapText="1"/>
    </xf>
    <xf numFmtId="0" fontId="1" fillId="29" borderId="51" xfId="0" applyFont="1" applyFill="1" applyBorder="1" applyAlignment="1">
      <alignment horizontal="center" vertical="center" wrapText="1"/>
    </xf>
    <xf numFmtId="0" fontId="4" fillId="2" borderId="20" xfId="0" applyFont="1" applyFill="1" applyBorder="1" applyAlignment="1">
      <alignment horizontal="center" wrapText="1"/>
    </xf>
    <xf numFmtId="0" fontId="4" fillId="2" borderId="21" xfId="0" applyFont="1" applyFill="1" applyBorder="1" applyAlignment="1">
      <alignment horizontal="center" wrapText="1"/>
    </xf>
    <xf numFmtId="0" fontId="2" fillId="17" borderId="20" xfId="0" applyFont="1" applyFill="1" applyBorder="1" applyAlignment="1">
      <alignment horizontal="center" wrapText="1"/>
    </xf>
    <xf numFmtId="0" fontId="2" fillId="17" borderId="36" xfId="0" applyFont="1" applyFill="1" applyBorder="1" applyAlignment="1">
      <alignment horizontal="center" wrapText="1"/>
    </xf>
    <xf numFmtId="0" fontId="2" fillId="17" borderId="21" xfId="0" applyFont="1" applyFill="1" applyBorder="1" applyAlignment="1">
      <alignment horizontal="center" wrapText="1"/>
    </xf>
    <xf numFmtId="0" fontId="2" fillId="14" borderId="20" xfId="0" applyNumberFormat="1" applyFont="1" applyFill="1" applyBorder="1" applyAlignment="1">
      <alignment horizontal="center"/>
    </xf>
    <xf numFmtId="0" fontId="2" fillId="14" borderId="21" xfId="0" applyNumberFormat="1" applyFont="1" applyFill="1" applyBorder="1" applyAlignment="1">
      <alignment horizontal="center"/>
    </xf>
    <xf numFmtId="0" fontId="2" fillId="13" borderId="20" xfId="0" applyNumberFormat="1" applyFont="1" applyFill="1" applyBorder="1" applyAlignment="1">
      <alignment horizontal="center"/>
    </xf>
    <xf numFmtId="0" fontId="2" fillId="13" borderId="21" xfId="0" applyNumberFormat="1" applyFont="1" applyFill="1" applyBorder="1" applyAlignment="1">
      <alignment horizontal="center"/>
    </xf>
    <xf numFmtId="0" fontId="2" fillId="10" borderId="20" xfId="0" applyNumberFormat="1" applyFont="1" applyFill="1" applyBorder="1" applyAlignment="1">
      <alignment horizontal="center"/>
    </xf>
    <xf numFmtId="0" fontId="2" fillId="10" borderId="21" xfId="0" applyNumberFormat="1" applyFont="1" applyFill="1" applyBorder="1" applyAlignment="1">
      <alignment horizontal="center"/>
    </xf>
    <xf numFmtId="0" fontId="2" fillId="15" borderId="20" xfId="0" applyNumberFormat="1" applyFont="1" applyFill="1" applyBorder="1" applyAlignment="1">
      <alignment horizontal="center"/>
    </xf>
    <xf numFmtId="0" fontId="2" fillId="15" borderId="21" xfId="0" applyNumberFormat="1" applyFont="1" applyFill="1" applyBorder="1" applyAlignment="1">
      <alignment horizontal="center"/>
    </xf>
    <xf numFmtId="0" fontId="2" fillId="11" borderId="20" xfId="0" applyNumberFormat="1" applyFont="1" applyFill="1" applyBorder="1" applyAlignment="1">
      <alignment horizontal="center"/>
    </xf>
    <xf numFmtId="0" fontId="2" fillId="11" borderId="21" xfId="0" applyNumberFormat="1" applyFont="1" applyFill="1" applyBorder="1" applyAlignment="1">
      <alignment horizontal="center"/>
    </xf>
    <xf numFmtId="0" fontId="1" fillId="0" borderId="10" xfId="0" applyFont="1" applyBorder="1" applyAlignment="1">
      <alignment horizontal="center" vertical="center" wrapText="1"/>
    </xf>
    <xf numFmtId="0" fontId="0" fillId="0" borderId="51" xfId="0" applyBorder="1" applyAlignment="1">
      <alignment vertical="center" wrapText="1"/>
    </xf>
    <xf numFmtId="0" fontId="1" fillId="27" borderId="33" xfId="0" applyFont="1" applyFill="1" applyBorder="1" applyAlignment="1">
      <alignment horizontal="center" vertical="center" wrapText="1"/>
    </xf>
    <xf numFmtId="0" fontId="1" fillId="27" borderId="34" xfId="0" applyFont="1" applyFill="1" applyBorder="1" applyAlignment="1">
      <alignment horizontal="center" vertical="center" wrapText="1"/>
    </xf>
    <xf numFmtId="0" fontId="1" fillId="27" borderId="35"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0" fillId="6" borderId="2" xfId="0" applyFill="1" applyBorder="1" applyAlignment="1">
      <alignment vertical="center" wrapText="1"/>
    </xf>
    <xf numFmtId="0" fontId="0" fillId="6" borderId="3" xfId="0" applyFill="1" applyBorder="1" applyAlignment="1">
      <alignment vertical="center" wrapText="1"/>
    </xf>
    <xf numFmtId="0" fontId="1" fillId="7" borderId="33"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2" fillId="12" borderId="20" xfId="0" applyNumberFormat="1" applyFont="1" applyFill="1" applyBorder="1" applyAlignment="1">
      <alignment horizontal="center"/>
    </xf>
    <xf numFmtId="0" fontId="2" fillId="12" borderId="21" xfId="0" applyNumberFormat="1" applyFont="1" applyFill="1" applyBorder="1" applyAlignment="1">
      <alignment horizontal="center"/>
    </xf>
    <xf numFmtId="0" fontId="1" fillId="9" borderId="3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2" fillId="17" borderId="20" xfId="0" applyNumberFormat="1" applyFont="1" applyFill="1" applyBorder="1" applyAlignment="1">
      <alignment horizontal="center"/>
    </xf>
    <xf numFmtId="0" fontId="2" fillId="17" borderId="36" xfId="0" applyNumberFormat="1" applyFont="1" applyFill="1" applyBorder="1" applyAlignment="1">
      <alignment horizontal="center"/>
    </xf>
    <xf numFmtId="0" fontId="2" fillId="17" borderId="21" xfId="0" applyNumberFormat="1" applyFont="1" applyFill="1" applyBorder="1" applyAlignment="1">
      <alignment horizontal="center"/>
    </xf>
    <xf numFmtId="0" fontId="1" fillId="26" borderId="31" xfId="0" applyFont="1" applyFill="1" applyBorder="1" applyAlignment="1">
      <alignment horizontal="center" vertical="center" wrapText="1"/>
    </xf>
    <xf numFmtId="0" fontId="0" fillId="26" borderId="2" xfId="0" applyFill="1" applyBorder="1" applyAlignment="1">
      <alignment vertical="center" wrapText="1"/>
    </xf>
    <xf numFmtId="0" fontId="0" fillId="26" borderId="3" xfId="0" applyFill="1" applyBorder="1" applyAlignment="1">
      <alignment vertical="center" wrapText="1"/>
    </xf>
    <xf numFmtId="0" fontId="1" fillId="28" borderId="31" xfId="0" applyFont="1" applyFill="1" applyBorder="1" applyAlignment="1">
      <alignment horizontal="center" vertical="center" wrapText="1"/>
    </xf>
    <xf numFmtId="0" fontId="0" fillId="28" borderId="2" xfId="0" applyFill="1" applyBorder="1" applyAlignment="1">
      <alignment vertical="center" wrapText="1"/>
    </xf>
    <xf numFmtId="0" fontId="2" fillId="21" borderId="20" xfId="0" applyNumberFormat="1" applyFont="1" applyFill="1" applyBorder="1" applyAlignment="1">
      <alignment horizontal="center"/>
    </xf>
    <xf numFmtId="0" fontId="2" fillId="21" borderId="21" xfId="0" applyNumberFormat="1" applyFont="1" applyFill="1" applyBorder="1" applyAlignment="1">
      <alignment horizontal="center"/>
    </xf>
    <xf numFmtId="0" fontId="2" fillId="16" borderId="20" xfId="0" applyNumberFormat="1" applyFont="1" applyFill="1" applyBorder="1" applyAlignment="1">
      <alignment horizontal="center"/>
    </xf>
    <xf numFmtId="0" fontId="2" fillId="16" borderId="21" xfId="0" applyNumberFormat="1" applyFont="1" applyFill="1" applyBorder="1" applyAlignment="1">
      <alignment horizontal="center"/>
    </xf>
    <xf numFmtId="0" fontId="0" fillId="11" borderId="20" xfId="0" applyFill="1" applyBorder="1" applyAlignment="1">
      <alignment horizontal="center" vertical="center" wrapText="1"/>
    </xf>
    <xf numFmtId="0" fontId="0" fillId="11" borderId="21" xfId="0" applyFill="1" applyBorder="1" applyAlignment="1">
      <alignment horizontal="center" vertical="center" wrapText="1"/>
    </xf>
    <xf numFmtId="0" fontId="0" fillId="12" borderId="20" xfId="0" applyFill="1" applyBorder="1" applyAlignment="1">
      <alignment horizontal="center" vertical="center" wrapText="1"/>
    </xf>
    <xf numFmtId="0" fontId="0" fillId="12" borderId="21" xfId="0"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0" fillId="10" borderId="20" xfId="0" applyFill="1" applyBorder="1" applyAlignment="1">
      <alignment horizontal="center" vertical="center" wrapText="1"/>
    </xf>
    <xf numFmtId="0" fontId="0" fillId="10" borderId="21" xfId="0" applyFill="1" applyBorder="1" applyAlignment="1">
      <alignment horizontal="center" vertical="center" wrapText="1"/>
    </xf>
    <xf numFmtId="0" fontId="0" fillId="15" borderId="20" xfId="0" applyFill="1" applyBorder="1" applyAlignment="1">
      <alignment horizontal="center" vertical="center" wrapText="1"/>
    </xf>
    <xf numFmtId="0" fontId="0" fillId="15" borderId="21" xfId="0" applyFill="1" applyBorder="1" applyAlignment="1">
      <alignment horizontal="center" vertical="center" wrapText="1"/>
    </xf>
    <xf numFmtId="0" fontId="0" fillId="19" borderId="20" xfId="0" applyFill="1" applyBorder="1" applyAlignment="1">
      <alignment horizontal="center" vertical="center" wrapText="1"/>
    </xf>
    <xf numFmtId="0" fontId="0" fillId="19" borderId="21" xfId="0" applyFill="1" applyBorder="1" applyAlignment="1">
      <alignment horizontal="center" vertical="center" wrapText="1"/>
    </xf>
    <xf numFmtId="0" fontId="0" fillId="30" borderId="20" xfId="0" applyFill="1" applyBorder="1" applyAlignment="1">
      <alignment horizontal="center" vertical="center" wrapText="1"/>
    </xf>
    <xf numFmtId="0" fontId="0" fillId="30" borderId="21" xfId="0" applyFill="1" applyBorder="1" applyAlignment="1">
      <alignment horizontal="center" vertical="center" wrapText="1"/>
    </xf>
    <xf numFmtId="0" fontId="0" fillId="31" borderId="20" xfId="0" applyFill="1" applyBorder="1" applyAlignment="1">
      <alignment horizontal="center" vertical="center" wrapText="1"/>
    </xf>
    <xf numFmtId="0" fontId="0" fillId="31" borderId="21" xfId="0" applyFill="1" applyBorder="1" applyAlignment="1">
      <alignment horizontal="center" vertical="center" wrapText="1"/>
    </xf>
    <xf numFmtId="0" fontId="0" fillId="14" borderId="20" xfId="0" applyFill="1" applyBorder="1" applyAlignment="1">
      <alignment horizontal="center" vertical="center" wrapText="1"/>
    </xf>
    <xf numFmtId="0" fontId="0" fillId="14" borderId="21" xfId="0" applyFill="1" applyBorder="1" applyAlignment="1">
      <alignment horizontal="center" vertical="center" wrapText="1"/>
    </xf>
    <xf numFmtId="0" fontId="0" fillId="13" borderId="20" xfId="0" applyFill="1" applyBorder="1" applyAlignment="1">
      <alignment horizontal="center" vertical="center" wrapText="1"/>
    </xf>
    <xf numFmtId="0" fontId="0" fillId="13" borderId="21" xfId="0" applyFill="1" applyBorder="1" applyAlignment="1">
      <alignment horizontal="center" vertical="center" wrapText="1"/>
    </xf>
    <xf numFmtId="0" fontId="0" fillId="18" borderId="20" xfId="0" applyFill="1" applyBorder="1" applyAlignment="1">
      <alignment horizontal="center" vertical="center" wrapText="1"/>
    </xf>
    <xf numFmtId="0" fontId="0" fillId="18" borderId="21" xfId="0" applyFill="1" applyBorder="1" applyAlignment="1">
      <alignment horizontal="center" vertical="center" wrapText="1"/>
    </xf>
    <xf numFmtId="0" fontId="1" fillId="3" borderId="33" xfId="0" applyFont="1" applyFill="1" applyBorder="1" applyAlignment="1">
      <alignment horizontal="center"/>
    </xf>
    <xf numFmtId="0" fontId="1" fillId="3" borderId="34" xfId="0" applyFont="1" applyFill="1" applyBorder="1" applyAlignment="1">
      <alignment horizontal="center"/>
    </xf>
    <xf numFmtId="0" fontId="1" fillId="3" borderId="35" xfId="0" applyFont="1" applyFill="1" applyBorder="1" applyAlignment="1">
      <alignment horizontal="center"/>
    </xf>
    <xf numFmtId="0" fontId="1" fillId="6" borderId="34" xfId="0" applyFont="1" applyFill="1" applyBorder="1" applyAlignment="1">
      <alignment horizontal="center" vertical="center"/>
    </xf>
    <xf numFmtId="0" fontId="1" fillId="6" borderId="35" xfId="0" applyFont="1" applyFill="1" applyBorder="1" applyAlignment="1">
      <alignment horizontal="center" vertical="center"/>
    </xf>
    <xf numFmtId="165" fontId="1" fillId="8" borderId="33" xfId="0" applyNumberFormat="1" applyFont="1" applyFill="1" applyBorder="1" applyAlignment="1">
      <alignment horizontal="center"/>
    </xf>
    <xf numFmtId="165" fontId="1" fillId="8" borderId="34" xfId="0" applyNumberFormat="1" applyFont="1" applyFill="1" applyBorder="1" applyAlignment="1">
      <alignment horizontal="center"/>
    </xf>
    <xf numFmtId="165" fontId="1" fillId="8" borderId="35" xfId="0" applyNumberFormat="1" applyFont="1" applyFill="1" applyBorder="1" applyAlignment="1">
      <alignment horizontal="center"/>
    </xf>
    <xf numFmtId="164" fontId="1" fillId="5" borderId="33" xfId="0" applyNumberFormat="1" applyFont="1" applyFill="1" applyBorder="1" applyAlignment="1">
      <alignment horizontal="center"/>
    </xf>
    <xf numFmtId="164" fontId="1" fillId="5" borderId="34" xfId="0" applyNumberFormat="1" applyFont="1" applyFill="1" applyBorder="1" applyAlignment="1">
      <alignment horizontal="center"/>
    </xf>
    <xf numFmtId="164" fontId="1" fillId="5" borderId="35" xfId="0" applyNumberFormat="1" applyFont="1" applyFill="1" applyBorder="1" applyAlignment="1">
      <alignment horizontal="center"/>
    </xf>
    <xf numFmtId="164" fontId="1" fillId="4" borderId="33" xfId="0" applyNumberFormat="1" applyFont="1" applyFill="1" applyBorder="1" applyAlignment="1">
      <alignment horizontal="center" vertical="center"/>
    </xf>
    <xf numFmtId="164" fontId="1" fillId="4" borderId="34" xfId="0" applyNumberFormat="1" applyFont="1" applyFill="1" applyBorder="1" applyAlignment="1">
      <alignment horizontal="center" vertical="center"/>
    </xf>
    <xf numFmtId="164" fontId="1" fillId="4" borderId="35" xfId="0" applyNumberFormat="1" applyFont="1" applyFill="1" applyBorder="1" applyAlignment="1">
      <alignment horizontal="center" vertical="center"/>
    </xf>
    <xf numFmtId="166" fontId="1" fillId="7" borderId="33" xfId="0" applyNumberFormat="1" applyFont="1" applyFill="1" applyBorder="1" applyAlignment="1">
      <alignment horizontal="center"/>
    </xf>
    <xf numFmtId="166" fontId="1" fillId="7" borderId="34" xfId="0" applyNumberFormat="1" applyFont="1" applyFill="1" applyBorder="1" applyAlignment="1">
      <alignment horizontal="center"/>
    </xf>
    <xf numFmtId="166" fontId="1" fillId="7" borderId="35" xfId="0" applyNumberFormat="1" applyFont="1" applyFill="1" applyBorder="1" applyAlignment="1">
      <alignment horizontal="center"/>
    </xf>
    <xf numFmtId="165" fontId="1" fillId="25" borderId="2" xfId="0" applyNumberFormat="1" applyFont="1" applyFill="1" applyBorder="1" applyAlignment="1">
      <alignment horizontal="center"/>
    </xf>
    <xf numFmtId="165" fontId="1" fillId="25" borderId="3" xfId="0" applyNumberFormat="1" applyFont="1" applyFill="1" applyBorder="1" applyAlignment="1">
      <alignment horizontal="center"/>
    </xf>
    <xf numFmtId="167" fontId="1" fillId="32" borderId="33" xfId="0" applyNumberFormat="1" applyFont="1" applyFill="1" applyBorder="1" applyAlignment="1">
      <alignment horizontal="center"/>
    </xf>
    <xf numFmtId="167" fontId="1" fillId="32" borderId="34" xfId="0" applyNumberFormat="1" applyFont="1" applyFill="1" applyBorder="1" applyAlignment="1">
      <alignment horizontal="center"/>
    </xf>
    <xf numFmtId="167" fontId="1" fillId="32" borderId="35" xfId="0" applyNumberFormat="1" applyFont="1" applyFill="1" applyBorder="1" applyAlignment="1">
      <alignment horizontal="center"/>
    </xf>
    <xf numFmtId="0" fontId="1" fillId="0" borderId="10" xfId="0" applyFont="1" applyBorder="1" applyAlignment="1">
      <alignment horizontal="center" vertical="center"/>
    </xf>
    <xf numFmtId="0" fontId="1" fillId="0" borderId="51" xfId="0" applyFont="1" applyBorder="1" applyAlignment="1">
      <alignment horizontal="center" vertical="center"/>
    </xf>
    <xf numFmtId="164" fontId="1" fillId="13" borderId="33" xfId="0" applyNumberFormat="1" applyFont="1" applyFill="1" applyBorder="1" applyAlignment="1">
      <alignment horizontal="center"/>
    </xf>
    <xf numFmtId="164" fontId="1" fillId="13" borderId="34" xfId="0" applyNumberFormat="1" applyFont="1" applyFill="1" applyBorder="1" applyAlignment="1">
      <alignment horizontal="center"/>
    </xf>
    <xf numFmtId="164" fontId="1" fillId="13" borderId="35" xfId="0" applyNumberFormat="1" applyFont="1" applyFill="1" applyBorder="1" applyAlignment="1">
      <alignment horizontal="center"/>
    </xf>
    <xf numFmtId="164" fontId="1" fillId="11" borderId="33" xfId="0" applyNumberFormat="1" applyFont="1" applyFill="1" applyBorder="1" applyAlignment="1">
      <alignment horizontal="center" vertical="center"/>
    </xf>
    <xf numFmtId="164" fontId="1" fillId="11" borderId="34" xfId="0" applyNumberFormat="1" applyFont="1" applyFill="1" applyBorder="1" applyAlignment="1">
      <alignment horizontal="center" vertical="center"/>
    </xf>
    <xf numFmtId="164" fontId="1" fillId="11" borderId="35" xfId="0" applyNumberFormat="1" applyFont="1" applyFill="1" applyBorder="1" applyAlignment="1">
      <alignment horizontal="center" vertical="center"/>
    </xf>
    <xf numFmtId="167" fontId="1" fillId="24" borderId="33" xfId="0" applyNumberFormat="1" applyFont="1" applyFill="1" applyBorder="1" applyAlignment="1">
      <alignment horizontal="center"/>
    </xf>
    <xf numFmtId="167" fontId="1" fillId="24" borderId="34" xfId="0" applyNumberFormat="1" applyFont="1" applyFill="1" applyBorder="1" applyAlignment="1">
      <alignment horizontal="center"/>
    </xf>
    <xf numFmtId="167" fontId="1" fillId="24" borderId="35" xfId="0" applyNumberFormat="1" applyFont="1" applyFill="1" applyBorder="1" applyAlignment="1">
      <alignment horizontal="center"/>
    </xf>
  </cellXfs>
  <cellStyles count="1">
    <cellStyle name="Normálna" xfId="0" builtinId="0"/>
  </cellStyles>
  <dxfs count="196">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numFmt numFmtId="175" formatCode="&quot; &quot;"/>
    </dxf>
    <dxf>
      <numFmt numFmtId="175" formatCode="&quot; &quot;"/>
      <fill>
        <patternFill>
          <bgColor theme="0"/>
        </patternFill>
      </fill>
    </dxf>
    <dxf>
      <fill>
        <patternFill patternType="solid">
          <fgColor rgb="FFFFFFFF"/>
          <bgColor rgb="FF000000"/>
        </patternFill>
      </fill>
    </dxf>
    <dxf>
      <fill>
        <patternFill>
          <bgColor theme="0"/>
        </patternFill>
      </fill>
    </dxf>
    <dxf>
      <fill>
        <patternFill>
          <bgColor rgb="FF00B0F0"/>
        </patternFill>
      </fill>
    </dxf>
    <dxf>
      <fill>
        <patternFill>
          <bgColor rgb="FF00B050"/>
        </patternFill>
      </fill>
    </dxf>
    <dxf>
      <fill>
        <patternFill>
          <bgColor rgb="FF92D050"/>
        </patternFill>
      </fill>
    </dxf>
    <dxf>
      <fill>
        <patternFill>
          <bgColor rgb="FFCCFF66"/>
        </patternFill>
      </fill>
    </dxf>
    <dxf>
      <fill>
        <patternFill>
          <bgColor rgb="FFFFFF00"/>
        </patternFill>
      </fill>
    </dxf>
    <dxf>
      <fill>
        <patternFill>
          <bgColor rgb="FFFFC000"/>
        </patternFill>
      </fill>
    </dxf>
    <dxf>
      <fill>
        <patternFill>
          <bgColor rgb="FFFF0000"/>
        </patternFill>
      </fill>
    </dxf>
    <dxf>
      <font>
        <color auto="1"/>
      </font>
      <fill>
        <patternFill>
          <bgColor rgb="FFC00000"/>
        </patternFill>
      </fill>
    </dxf>
    <dxf>
      <fill>
        <patternFill>
          <bgColor theme="0"/>
        </patternFill>
      </fill>
    </dxf>
    <dxf>
      <fill>
        <patternFill>
          <bgColor rgb="FF00B0F0"/>
        </patternFill>
      </fill>
    </dxf>
    <dxf>
      <fill>
        <patternFill>
          <bgColor rgb="FF00B050"/>
        </patternFill>
      </fill>
    </dxf>
    <dxf>
      <fill>
        <patternFill>
          <bgColor rgb="FF92D050"/>
        </patternFill>
      </fill>
    </dxf>
    <dxf>
      <fill>
        <patternFill>
          <bgColor rgb="FFCCFF66"/>
        </patternFill>
      </fill>
    </dxf>
    <dxf>
      <fill>
        <patternFill>
          <bgColor rgb="FFFFFF00"/>
        </patternFill>
      </fill>
    </dxf>
    <dxf>
      <fill>
        <patternFill>
          <bgColor rgb="FFFFC000"/>
        </patternFill>
      </fill>
    </dxf>
    <dxf>
      <fill>
        <patternFill>
          <bgColor rgb="FFFF0000"/>
        </patternFill>
      </fill>
    </dxf>
    <dxf>
      <font>
        <color auto="1"/>
      </font>
      <fill>
        <patternFill>
          <bgColor rgb="FFC0000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6699"/>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800000"/>
        </patternFill>
      </fill>
    </dxf>
    <dxf>
      <fill>
        <patternFill>
          <bgColor rgb="FFD60093"/>
        </patternFill>
      </fill>
    </dxf>
    <dxf>
      <fill>
        <patternFill>
          <bgColor theme="0"/>
        </patternFill>
      </fill>
    </dxf>
    <dxf>
      <fill>
        <patternFill>
          <bgColor rgb="FF00B0F0"/>
        </patternFill>
      </fill>
    </dxf>
    <dxf>
      <fill>
        <patternFill>
          <bgColor rgb="FF00B050"/>
        </patternFill>
      </fill>
    </dxf>
    <dxf>
      <fill>
        <patternFill>
          <bgColor rgb="FF92D050"/>
        </patternFill>
      </fill>
    </dxf>
    <dxf>
      <fill>
        <patternFill>
          <bgColor rgb="FFCCFF66"/>
        </patternFill>
      </fill>
    </dxf>
    <dxf>
      <fill>
        <patternFill>
          <bgColor rgb="FFFFFF00"/>
        </patternFill>
      </fill>
    </dxf>
    <dxf>
      <fill>
        <patternFill>
          <bgColor rgb="FFFFC000"/>
        </patternFill>
      </fill>
    </dxf>
    <dxf>
      <fill>
        <patternFill>
          <bgColor rgb="FFFF0000"/>
        </patternFill>
      </fill>
    </dxf>
    <dxf>
      <font>
        <color auto="1"/>
      </font>
      <fill>
        <patternFill>
          <bgColor rgb="FFC00000"/>
        </patternFill>
      </fill>
    </dxf>
    <dxf>
      <fill>
        <patternFill>
          <bgColor theme="1" tint="0.499984740745262"/>
        </patternFill>
      </fill>
    </dxf>
    <dxf>
      <fill>
        <patternFill>
          <bgColor rgb="FF0070C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92D050"/>
        </patternFill>
      </fill>
    </dxf>
    <dxf>
      <fill>
        <patternFill>
          <bgColor rgb="FFCCFF66"/>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CCFF66"/>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7030A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ndense val="0"/>
        <extend val="0"/>
        <color rgb="FF9C0006"/>
      </font>
      <fill>
        <patternFill>
          <bgColor rgb="FFFFC7CE"/>
        </patternFill>
      </fill>
    </dxf>
    <dxf>
      <fill>
        <patternFill>
          <bgColor theme="0" tint="-4.9989318521683403E-2"/>
        </patternFill>
      </fill>
      <border>
        <left style="thin">
          <color auto="1"/>
        </left>
        <right style="thin">
          <color auto="1"/>
        </right>
        <top style="thin">
          <color auto="1"/>
        </top>
        <bottom style="thin">
          <color auto="1"/>
        </bottom>
        <vertical/>
        <horizontal/>
      </border>
    </dxf>
    <dxf>
      <font>
        <color theme="1" tint="0.499984740745262"/>
      </font>
      <fill>
        <patternFill>
          <bgColor theme="0"/>
        </patternFill>
      </fill>
    </dxf>
    <dxf>
      <fill>
        <patternFill>
          <bgColor theme="0" tint="-4.9989318521683403E-2"/>
        </patternFill>
      </fill>
      <border>
        <left style="thin">
          <color auto="1"/>
        </left>
        <right style="thin">
          <color auto="1"/>
        </right>
        <top style="thin">
          <color auto="1"/>
        </top>
        <bottom style="thin">
          <color auto="1"/>
        </bottom>
        <vertical/>
        <horizontal/>
      </border>
    </dxf>
    <dxf>
      <fill>
        <patternFill>
          <bgColor theme="0"/>
        </patternFill>
      </fill>
    </dxf>
    <dxf>
      <fill>
        <patternFill>
          <bgColor rgb="FF00B050"/>
        </patternFill>
      </fill>
    </dxf>
    <dxf>
      <fill>
        <patternFill>
          <bgColor theme="0"/>
        </patternFill>
      </fill>
    </dxf>
    <dxf>
      <fill>
        <patternFill>
          <bgColor theme="0" tint="-0.499984740745262"/>
        </patternFill>
      </fill>
    </dxf>
    <dxf>
      <fill>
        <patternFill>
          <bgColor rgb="FF002060"/>
        </patternFill>
      </fill>
    </dxf>
    <dxf>
      <fill>
        <patternFill>
          <bgColor rgb="FF0070C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92D050"/>
        </patternFill>
      </fill>
    </dxf>
    <dxf>
      <fill>
        <patternFill>
          <bgColor rgb="FFCCFF66"/>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50"/>
        </patternFill>
      </fill>
    </dxf>
    <dxf>
      <fill>
        <patternFill>
          <bgColor theme="0"/>
        </patternFill>
      </fill>
    </dxf>
    <dxf>
      <fill>
        <patternFill>
          <bgColor theme="0" tint="-0.499984740745262"/>
        </patternFill>
      </fill>
    </dxf>
    <dxf>
      <fill>
        <patternFill>
          <bgColor rgb="FF002060"/>
        </patternFill>
      </fill>
    </dxf>
    <dxf>
      <fill>
        <patternFill>
          <bgColor rgb="FF0070C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92D050"/>
        </patternFill>
      </fill>
    </dxf>
    <dxf>
      <fill>
        <patternFill>
          <bgColor rgb="FFCCFF66"/>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00B0F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9" defaultPivotStyle="PivotStyleLight16"/>
  <colors>
    <mruColors>
      <color rgb="FFA50021"/>
      <color rgb="FFF4FD7F"/>
      <color rgb="FFFFFF66"/>
      <color rgb="FFFF0000"/>
      <color rgb="FFCCFF66"/>
      <color rgb="FFFF6699"/>
      <color rgb="FFCCFF33"/>
      <color rgb="FFCCFD66"/>
      <color rgb="FF80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4"/>
  <dimension ref="A1:AC367"/>
  <sheetViews>
    <sheetView tabSelected="1" zoomScale="85" zoomScaleNormal="85" workbookViewId="0">
      <pane xSplit="1" ySplit="2" topLeftCell="B345" activePane="bottomRight" state="frozen"/>
      <selection activeCell="K52" sqref="K52"/>
      <selection pane="topRight" activeCell="K52" sqref="K52"/>
      <selection pane="bottomLeft" activeCell="K52" sqref="K52"/>
      <selection pane="bottomRight" activeCell="W362" sqref="W362"/>
    </sheetView>
  </sheetViews>
  <sheetFormatPr defaultRowHeight="14.4" x14ac:dyDescent="0.3"/>
  <cols>
    <col min="1" max="1" width="10.88671875" customWidth="1"/>
    <col min="2" max="2" width="7.33203125" style="115" customWidth="1"/>
    <col min="3" max="8" width="7.33203125" style="113" customWidth="1"/>
    <col min="9" max="9" width="7.33203125" style="116" customWidth="1"/>
    <col min="10" max="11" width="7.33203125" style="113" customWidth="1"/>
    <col min="12" max="12" width="7.33203125" style="116" customWidth="1"/>
    <col min="13" max="13" width="7.33203125" style="115" customWidth="1"/>
    <col min="14" max="14" width="7.33203125" style="113" customWidth="1"/>
    <col min="15" max="15" width="7.33203125" style="116" customWidth="1"/>
    <col min="16" max="16" width="11.109375" style="115" customWidth="1"/>
    <col min="17" max="17" width="11.109375" style="113" customWidth="1"/>
    <col min="18" max="18" width="11.109375" style="116" customWidth="1"/>
    <col min="19" max="19" width="8.44140625" style="115" customWidth="1"/>
    <col min="20" max="21" width="8.44140625" style="113" customWidth="1"/>
    <col min="22" max="22" width="5.6640625" style="116" customWidth="1"/>
    <col min="23" max="23" width="7.109375" style="115" customWidth="1"/>
    <col min="24" max="24" width="11.44140625" style="113" customWidth="1"/>
    <col min="25" max="25" width="10" style="113" customWidth="1"/>
    <col min="26" max="26" width="8.44140625" style="113" customWidth="1"/>
    <col min="27" max="27" width="8.6640625" style="116" customWidth="1"/>
    <col min="28" max="28" width="28.44140625" style="323" customWidth="1"/>
  </cols>
  <sheetData>
    <row r="1" spans="1:28" s="15" customFormat="1" ht="16.5" customHeight="1" thickBot="1" x14ac:dyDescent="0.35">
      <c r="A1" s="205" t="s">
        <v>0</v>
      </c>
      <c r="B1" s="437" t="s">
        <v>2</v>
      </c>
      <c r="C1" s="438"/>
      <c r="D1" s="438"/>
      <c r="E1" s="438"/>
      <c r="F1" s="438"/>
      <c r="G1" s="438"/>
      <c r="H1" s="438"/>
      <c r="I1" s="439"/>
      <c r="J1" s="452" t="s">
        <v>5</v>
      </c>
      <c r="K1" s="453"/>
      <c r="L1" s="454"/>
      <c r="M1" s="446" t="s">
        <v>35</v>
      </c>
      <c r="N1" s="447"/>
      <c r="O1" s="448"/>
      <c r="P1" s="449" t="s">
        <v>7</v>
      </c>
      <c r="Q1" s="450"/>
      <c r="R1" s="451"/>
      <c r="S1" s="443" t="s">
        <v>10</v>
      </c>
      <c r="T1" s="444"/>
      <c r="U1" s="444"/>
      <c r="V1" s="445"/>
      <c r="W1" s="440" t="s">
        <v>14</v>
      </c>
      <c r="X1" s="441"/>
      <c r="Y1" s="441"/>
      <c r="Z1" s="441"/>
      <c r="AA1" s="442"/>
      <c r="AB1" s="316" t="s">
        <v>19</v>
      </c>
    </row>
    <row r="2" spans="1:28" s="15" customFormat="1" ht="28.8" x14ac:dyDescent="0.3">
      <c r="A2" s="108"/>
      <c r="B2" s="206" t="s">
        <v>95</v>
      </c>
      <c r="C2" s="207" t="s">
        <v>94</v>
      </c>
      <c r="D2" s="207" t="s">
        <v>93</v>
      </c>
      <c r="E2" s="208" t="s">
        <v>3</v>
      </c>
      <c r="F2" s="208" t="s">
        <v>4</v>
      </c>
      <c r="G2" s="208" t="s">
        <v>200</v>
      </c>
      <c r="H2" s="207" t="s">
        <v>6</v>
      </c>
      <c r="I2" s="209" t="s">
        <v>90</v>
      </c>
      <c r="J2" s="208" t="s">
        <v>20</v>
      </c>
      <c r="K2" s="208" t="s">
        <v>21</v>
      </c>
      <c r="L2" s="209" t="s">
        <v>86</v>
      </c>
      <c r="M2" s="206" t="s">
        <v>40</v>
      </c>
      <c r="N2" s="207" t="s">
        <v>39</v>
      </c>
      <c r="O2" s="209" t="s">
        <v>85</v>
      </c>
      <c r="P2" s="210" t="s">
        <v>8</v>
      </c>
      <c r="Q2" s="208" t="s">
        <v>9</v>
      </c>
      <c r="R2" s="209" t="s">
        <v>84</v>
      </c>
      <c r="S2" s="211" t="s">
        <v>11</v>
      </c>
      <c r="T2" s="212" t="s">
        <v>44</v>
      </c>
      <c r="U2" s="213" t="s">
        <v>41</v>
      </c>
      <c r="V2" s="214" t="s">
        <v>13</v>
      </c>
      <c r="W2" s="211" t="s">
        <v>15</v>
      </c>
      <c r="X2" s="213" t="s">
        <v>510</v>
      </c>
      <c r="Y2" s="215" t="s">
        <v>17</v>
      </c>
      <c r="Z2" s="213" t="s">
        <v>91</v>
      </c>
      <c r="AA2" s="214" t="s">
        <v>18</v>
      </c>
      <c r="AB2" s="317"/>
    </row>
    <row r="3" spans="1:28" s="34" customFormat="1" x14ac:dyDescent="0.3">
      <c r="A3" s="39">
        <v>44197</v>
      </c>
      <c r="B3" s="75">
        <v>1.5</v>
      </c>
      <c r="C3" s="30">
        <v>5.9</v>
      </c>
      <c r="D3" s="30">
        <v>4.2</v>
      </c>
      <c r="E3" s="30">
        <v>5.9</v>
      </c>
      <c r="F3" s="30">
        <v>1.3</v>
      </c>
      <c r="G3" s="30">
        <f>E3-F3</f>
        <v>4.6000000000000005</v>
      </c>
      <c r="H3" s="30">
        <f>(B3+C3+2*D3)/4</f>
        <v>3.95</v>
      </c>
      <c r="I3" s="83">
        <v>3.0753726046841634</v>
      </c>
      <c r="J3" s="30">
        <v>4</v>
      </c>
      <c r="K3" s="30">
        <v>0.9</v>
      </c>
      <c r="L3" s="83">
        <v>2.0663591199432307</v>
      </c>
      <c r="M3" s="114">
        <v>98.3</v>
      </c>
      <c r="N3" s="31">
        <v>82.8</v>
      </c>
      <c r="O3" s="109">
        <v>93.18601845280314</v>
      </c>
      <c r="P3" s="119">
        <v>1015.70321590167</v>
      </c>
      <c r="Q3" s="32">
        <v>1007.79555187156</v>
      </c>
      <c r="R3" s="70">
        <v>1011.4695463208645</v>
      </c>
      <c r="S3" s="111">
        <v>8.2000203810257499</v>
      </c>
      <c r="T3" s="33">
        <v>5.4214420463402089</v>
      </c>
      <c r="U3" s="33">
        <v>1.5756115550474119</v>
      </c>
      <c r="V3" s="216" t="s">
        <v>232</v>
      </c>
      <c r="W3" s="217"/>
      <c r="X3" s="105">
        <v>0</v>
      </c>
      <c r="Y3" s="106">
        <v>0</v>
      </c>
      <c r="Z3" s="107">
        <v>0</v>
      </c>
      <c r="AA3" s="112">
        <v>0</v>
      </c>
      <c r="AB3" s="318" t="s">
        <v>209</v>
      </c>
    </row>
    <row r="4" spans="1:28" s="20" customFormat="1" x14ac:dyDescent="0.3">
      <c r="A4" s="39">
        <v>44198</v>
      </c>
      <c r="B4" s="40">
        <v>3.5</v>
      </c>
      <c r="C4" s="14">
        <v>5.7</v>
      </c>
      <c r="D4" s="14">
        <v>2.2000000000000002</v>
      </c>
      <c r="E4" s="14">
        <v>6.8</v>
      </c>
      <c r="F4" s="14">
        <v>-1.3</v>
      </c>
      <c r="G4" s="30">
        <f t="shared" ref="G4:G32" si="0">E4-F4</f>
        <v>8.1</v>
      </c>
      <c r="H4" s="30">
        <f t="shared" ref="H4:H31" si="1">(B4+C4+2*D4)/4</f>
        <v>3.4</v>
      </c>
      <c r="I4" s="78">
        <v>3.9761111111111185</v>
      </c>
      <c r="J4" s="14">
        <v>3.2</v>
      </c>
      <c r="K4" s="14">
        <v>-2.2000000000000002</v>
      </c>
      <c r="L4" s="78">
        <v>1.8840277777777648</v>
      </c>
      <c r="M4" s="84">
        <v>93.7</v>
      </c>
      <c r="N4" s="24">
        <v>76</v>
      </c>
      <c r="O4" s="80">
        <v>86.408958333333416</v>
      </c>
      <c r="P4" s="117">
        <v>1019.3424593119501</v>
      </c>
      <c r="Q4" s="21">
        <v>1015.72057064716</v>
      </c>
      <c r="R4" s="66">
        <v>1018.0120100324251</v>
      </c>
      <c r="S4" s="71">
        <v>9.2000228665167221</v>
      </c>
      <c r="T4" s="61">
        <v>6.6062664197745686</v>
      </c>
      <c r="U4" s="25">
        <v>2.8835637146727415</v>
      </c>
      <c r="V4" s="218" t="s">
        <v>232</v>
      </c>
      <c r="W4" s="219"/>
      <c r="X4" s="16">
        <v>0</v>
      </c>
      <c r="Y4" s="17">
        <v>0</v>
      </c>
      <c r="Z4" s="18">
        <v>0</v>
      </c>
      <c r="AA4" s="43">
        <v>0</v>
      </c>
      <c r="AB4" s="319" t="s">
        <v>211</v>
      </c>
    </row>
    <row r="5" spans="1:28" s="20" customFormat="1" x14ac:dyDescent="0.3">
      <c r="A5" s="39">
        <v>44199</v>
      </c>
      <c r="B5" s="40">
        <v>-1.6</v>
      </c>
      <c r="C5" s="14">
        <v>6.1</v>
      </c>
      <c r="D5" s="14">
        <v>2.9</v>
      </c>
      <c r="E5" s="14">
        <v>7.1</v>
      </c>
      <c r="F5" s="14">
        <v>-2.1</v>
      </c>
      <c r="G5" s="30">
        <f t="shared" si="0"/>
        <v>9.1999999999999993</v>
      </c>
      <c r="H5" s="30">
        <f t="shared" si="1"/>
        <v>2.5750000000000002</v>
      </c>
      <c r="I5" s="78">
        <v>1.9436805555555592</v>
      </c>
      <c r="J5" s="14">
        <v>4.0999999999999996</v>
      </c>
      <c r="K5" s="14">
        <v>-2.8</v>
      </c>
      <c r="L5" s="78">
        <v>0.23201388888888655</v>
      </c>
      <c r="M5" s="84">
        <v>97.1</v>
      </c>
      <c r="N5" s="24">
        <v>62.5</v>
      </c>
      <c r="O5" s="80">
        <v>89.20152777777777</v>
      </c>
      <c r="P5" s="117">
        <v>1018.31982062001</v>
      </c>
      <c r="Q5" s="21">
        <v>1014.9669041388699</v>
      </c>
      <c r="R5" s="66">
        <v>1016.2055167266535</v>
      </c>
      <c r="S5" s="71">
        <v>8.8000218723203325</v>
      </c>
      <c r="T5" s="61">
        <v>5.6392997306793049</v>
      </c>
      <c r="U5" s="25">
        <v>1.0270548840784774</v>
      </c>
      <c r="V5" s="218" t="s">
        <v>242</v>
      </c>
      <c r="W5" s="219" t="s">
        <v>213</v>
      </c>
      <c r="X5" s="16">
        <v>3.6</v>
      </c>
      <c r="Y5" s="17">
        <v>4.9000000000000004</v>
      </c>
      <c r="Z5" s="18">
        <v>0</v>
      </c>
      <c r="AA5" s="43">
        <v>0</v>
      </c>
      <c r="AB5" s="319" t="s">
        <v>212</v>
      </c>
    </row>
    <row r="6" spans="1:28" s="20" customFormat="1" x14ac:dyDescent="0.3">
      <c r="A6" s="39">
        <v>44200</v>
      </c>
      <c r="B6" s="40">
        <v>4.7</v>
      </c>
      <c r="C6" s="14">
        <v>7.3</v>
      </c>
      <c r="D6" s="14">
        <v>4.5</v>
      </c>
      <c r="E6" s="14">
        <v>7.3</v>
      </c>
      <c r="F6" s="14">
        <v>3.9</v>
      </c>
      <c r="G6" s="30">
        <f t="shared" si="0"/>
        <v>3.4</v>
      </c>
      <c r="H6" s="30">
        <f t="shared" si="1"/>
        <v>5.25</v>
      </c>
      <c r="I6" s="78">
        <v>5.0866666666666651</v>
      </c>
      <c r="J6" s="14">
        <v>6.5</v>
      </c>
      <c r="K6" s="14">
        <v>3.3</v>
      </c>
      <c r="L6" s="78">
        <v>4.4642361111111137</v>
      </c>
      <c r="M6" s="84">
        <v>97.4</v>
      </c>
      <c r="N6" s="24">
        <v>91.6</v>
      </c>
      <c r="O6" s="80">
        <v>95.746111111111247</v>
      </c>
      <c r="P6" s="117">
        <v>1016.12671296796</v>
      </c>
      <c r="Q6" s="21">
        <v>1008.90157464434</v>
      </c>
      <c r="R6" s="66">
        <v>1013.9255582218162</v>
      </c>
      <c r="S6" s="72">
        <v>5.8000144158475004</v>
      </c>
      <c r="T6" s="62">
        <v>3.0714362054364859</v>
      </c>
      <c r="U6" s="19">
        <v>0.6861066160218301</v>
      </c>
      <c r="V6" s="218" t="s">
        <v>235</v>
      </c>
      <c r="W6" s="220" t="s">
        <v>213</v>
      </c>
      <c r="X6" s="16">
        <v>2.4</v>
      </c>
      <c r="Y6" s="17">
        <v>6.5</v>
      </c>
      <c r="Z6" s="18">
        <v>0</v>
      </c>
      <c r="AA6" s="43">
        <v>0</v>
      </c>
      <c r="AB6" s="319" t="s">
        <v>214</v>
      </c>
    </row>
    <row r="7" spans="1:28" s="20" customFormat="1" x14ac:dyDescent="0.3">
      <c r="A7" s="39">
        <v>44201</v>
      </c>
      <c r="B7" s="40">
        <v>4.0999999999999996</v>
      </c>
      <c r="C7" s="14">
        <v>4.3</v>
      </c>
      <c r="D7" s="14">
        <v>3.9</v>
      </c>
      <c r="E7" s="14">
        <v>5.0999999999999996</v>
      </c>
      <c r="F7" s="14">
        <v>3.4</v>
      </c>
      <c r="G7" s="30">
        <f t="shared" si="0"/>
        <v>1.6999999999999997</v>
      </c>
      <c r="H7" s="30">
        <f t="shared" si="1"/>
        <v>4.05</v>
      </c>
      <c r="I7" s="78">
        <v>4.1151388888888851</v>
      </c>
      <c r="J7" s="14">
        <v>4.7</v>
      </c>
      <c r="K7" s="14">
        <v>2.4</v>
      </c>
      <c r="L7" s="78">
        <v>3.5516666666666583</v>
      </c>
      <c r="M7" s="84">
        <v>97.7</v>
      </c>
      <c r="N7" s="24">
        <v>89.4</v>
      </c>
      <c r="O7" s="80">
        <v>96.130555555555489</v>
      </c>
      <c r="P7" s="117">
        <v>1012.19231643433</v>
      </c>
      <c r="Q7" s="21">
        <v>1005.74103866309</v>
      </c>
      <c r="R7" s="66">
        <v>1008.0539643729151</v>
      </c>
      <c r="S7" s="71">
        <v>6.5000161556911662</v>
      </c>
      <c r="T7" s="61">
        <v>4.0857244407201527</v>
      </c>
      <c r="U7" s="25">
        <v>0.64850111580790049</v>
      </c>
      <c r="V7" s="218" t="s">
        <v>241</v>
      </c>
      <c r="W7" s="220" t="s">
        <v>213</v>
      </c>
      <c r="X7" s="16">
        <v>1.2</v>
      </c>
      <c r="Y7" s="17">
        <v>4.5999999999999996</v>
      </c>
      <c r="Z7" s="18">
        <v>0</v>
      </c>
      <c r="AA7" s="43">
        <v>0</v>
      </c>
      <c r="AB7" s="319" t="s">
        <v>212</v>
      </c>
    </row>
    <row r="8" spans="1:28" s="20" customFormat="1" x14ac:dyDescent="0.3">
      <c r="A8" s="39">
        <v>44202</v>
      </c>
      <c r="B8" s="40">
        <v>3.3</v>
      </c>
      <c r="C8" s="14">
        <v>5.0999999999999996</v>
      </c>
      <c r="D8" s="14">
        <v>4.5</v>
      </c>
      <c r="E8" s="14">
        <v>5.5</v>
      </c>
      <c r="F8" s="14">
        <v>3.2</v>
      </c>
      <c r="G8" s="30">
        <f t="shared" si="0"/>
        <v>2.2999999999999998</v>
      </c>
      <c r="H8" s="30">
        <f t="shared" si="1"/>
        <v>4.3499999999999996</v>
      </c>
      <c r="I8" s="78">
        <v>4.1681249999999821</v>
      </c>
      <c r="J8" s="14">
        <v>3.5</v>
      </c>
      <c r="K8" s="14">
        <v>1.3</v>
      </c>
      <c r="L8" s="78">
        <v>2.5566666666666702</v>
      </c>
      <c r="M8" s="84">
        <v>93.8</v>
      </c>
      <c r="N8" s="24">
        <v>81.599999999999994</v>
      </c>
      <c r="O8" s="80">
        <v>89.267291666666765</v>
      </c>
      <c r="P8" s="117">
        <v>1014.1570155038399</v>
      </c>
      <c r="Q8" s="21">
        <v>1010.7472421349401</v>
      </c>
      <c r="R8" s="66">
        <v>1012.3130175490636</v>
      </c>
      <c r="S8" s="71">
        <v>10.500026097654944</v>
      </c>
      <c r="T8" s="61">
        <v>5.7205499326254436</v>
      </c>
      <c r="U8" s="25">
        <v>2.5383371621729602</v>
      </c>
      <c r="V8" s="218" t="s">
        <v>232</v>
      </c>
      <c r="W8" s="220" t="s">
        <v>213</v>
      </c>
      <c r="X8" s="16">
        <v>3.6</v>
      </c>
      <c r="Y8" s="17">
        <v>2.4</v>
      </c>
      <c r="Z8" s="18">
        <v>0</v>
      </c>
      <c r="AA8" s="43">
        <v>0</v>
      </c>
      <c r="AB8" s="319" t="s">
        <v>212</v>
      </c>
    </row>
    <row r="9" spans="1:28" s="20" customFormat="1" x14ac:dyDescent="0.3">
      <c r="A9" s="39">
        <v>44203</v>
      </c>
      <c r="B9" s="40">
        <v>2.2000000000000002</v>
      </c>
      <c r="C9" s="14">
        <v>1.5</v>
      </c>
      <c r="D9" s="14">
        <v>-0.4</v>
      </c>
      <c r="E9" s="14">
        <v>4.8</v>
      </c>
      <c r="F9" s="14">
        <v>-0.5</v>
      </c>
      <c r="G9" s="30">
        <f t="shared" si="0"/>
        <v>5.3</v>
      </c>
      <c r="H9" s="30">
        <f t="shared" si="1"/>
        <v>0.72500000000000009</v>
      </c>
      <c r="I9" s="78">
        <v>2.1365277777777716</v>
      </c>
      <c r="J9" s="14">
        <v>3.4</v>
      </c>
      <c r="K9" s="14">
        <v>-1.1000000000000001</v>
      </c>
      <c r="L9" s="78">
        <v>1.1771527777777757</v>
      </c>
      <c r="M9" s="84">
        <v>96.9</v>
      </c>
      <c r="N9" s="24">
        <v>84.8</v>
      </c>
      <c r="O9" s="80">
        <v>93.412500000000023</v>
      </c>
      <c r="P9" s="117">
        <v>1014.51997170239</v>
      </c>
      <c r="Q9" s="21">
        <v>1008.47338410802</v>
      </c>
      <c r="R9" s="66">
        <v>1011.2787871082458</v>
      </c>
      <c r="S9" s="71">
        <v>6.8000169013384442</v>
      </c>
      <c r="T9" s="61">
        <v>4.942869428283819</v>
      </c>
      <c r="U9" s="25">
        <v>0.70228969195890512</v>
      </c>
      <c r="V9" s="218" t="s">
        <v>231</v>
      </c>
      <c r="W9" s="220" t="s">
        <v>215</v>
      </c>
      <c r="X9" s="16">
        <v>1.2</v>
      </c>
      <c r="Y9" s="17">
        <v>0.8</v>
      </c>
      <c r="Z9" s="18">
        <v>0</v>
      </c>
      <c r="AA9" s="43">
        <v>0</v>
      </c>
      <c r="AB9" s="319" t="s">
        <v>212</v>
      </c>
    </row>
    <row r="10" spans="1:28" s="20" customFormat="1" x14ac:dyDescent="0.3">
      <c r="A10" s="39">
        <v>44204</v>
      </c>
      <c r="B10" s="40">
        <v>-0.3</v>
      </c>
      <c r="C10" s="14">
        <v>3.3</v>
      </c>
      <c r="D10" s="14">
        <v>-1.8</v>
      </c>
      <c r="E10" s="14">
        <v>4.5</v>
      </c>
      <c r="F10" s="14">
        <v>-1.9</v>
      </c>
      <c r="G10" s="30">
        <f t="shared" si="0"/>
        <v>6.4</v>
      </c>
      <c r="H10" s="30">
        <f t="shared" si="1"/>
        <v>-0.15000000000000002</v>
      </c>
      <c r="I10" s="78">
        <v>0.37895833333333268</v>
      </c>
      <c r="J10" s="14">
        <v>2.5</v>
      </c>
      <c r="K10" s="14">
        <v>-2.8</v>
      </c>
      <c r="L10" s="78">
        <v>-0.78590277777777973</v>
      </c>
      <c r="M10" s="84">
        <v>97</v>
      </c>
      <c r="N10" s="24">
        <v>80.099999999999994</v>
      </c>
      <c r="O10" s="80">
        <v>92.019513888889051</v>
      </c>
      <c r="P10" s="117">
        <v>1016.81802155014</v>
      </c>
      <c r="Q10" s="21">
        <v>1014.06423080869</v>
      </c>
      <c r="R10" s="66">
        <v>1015.1223440227097</v>
      </c>
      <c r="S10" s="71">
        <v>4.4000109361601663</v>
      </c>
      <c r="T10" s="61">
        <v>2.4642918392455471</v>
      </c>
      <c r="U10" s="25">
        <v>0.72466697972017025</v>
      </c>
      <c r="V10" s="218" t="s">
        <v>236</v>
      </c>
      <c r="W10" s="220"/>
      <c r="X10" s="16">
        <v>0</v>
      </c>
      <c r="Y10" s="17">
        <v>0</v>
      </c>
      <c r="Z10" s="18">
        <v>0</v>
      </c>
      <c r="AA10" s="43">
        <v>0</v>
      </c>
      <c r="AB10" s="319" t="s">
        <v>209</v>
      </c>
    </row>
    <row r="11" spans="1:28" s="20" customFormat="1" x14ac:dyDescent="0.3">
      <c r="A11" s="39">
        <v>44205</v>
      </c>
      <c r="B11" s="40">
        <v>-1.5</v>
      </c>
      <c r="C11" s="14">
        <v>-1.2</v>
      </c>
      <c r="D11" s="14">
        <v>-2.2000000000000002</v>
      </c>
      <c r="E11" s="14">
        <v>-0.5</v>
      </c>
      <c r="F11" s="14">
        <v>-2.5</v>
      </c>
      <c r="G11" s="30">
        <f t="shared" si="0"/>
        <v>2</v>
      </c>
      <c r="H11" s="30">
        <f t="shared" si="1"/>
        <v>-1.7750000000000001</v>
      </c>
      <c r="I11" s="78">
        <v>-1.5115277777777862</v>
      </c>
      <c r="J11" s="14">
        <v>-1.3</v>
      </c>
      <c r="K11" s="14">
        <v>-3.4</v>
      </c>
      <c r="L11" s="78">
        <v>-2.3812500000000125</v>
      </c>
      <c r="M11" s="84">
        <v>96.5</v>
      </c>
      <c r="N11" s="24">
        <v>91.5</v>
      </c>
      <c r="O11" s="80">
        <v>93.7766666666665</v>
      </c>
      <c r="P11" s="117">
        <v>1023.26608725079</v>
      </c>
      <c r="Q11" s="21">
        <v>1016.744846011</v>
      </c>
      <c r="R11" s="66">
        <v>1019.8359541157081</v>
      </c>
      <c r="S11" s="71">
        <v>4.4000109361601663</v>
      </c>
      <c r="T11" s="61">
        <v>3.2357223280528471</v>
      </c>
      <c r="U11" s="25">
        <v>0.98352799017875947</v>
      </c>
      <c r="V11" s="218" t="s">
        <v>231</v>
      </c>
      <c r="W11" s="220"/>
      <c r="X11" s="16">
        <v>0</v>
      </c>
      <c r="Y11" s="17">
        <v>0</v>
      </c>
      <c r="Z11" s="18">
        <v>0</v>
      </c>
      <c r="AA11" s="43">
        <v>0</v>
      </c>
      <c r="AB11" s="319" t="s">
        <v>214</v>
      </c>
    </row>
    <row r="12" spans="1:28" s="20" customFormat="1" x14ac:dyDescent="0.3">
      <c r="A12" s="39">
        <v>44206</v>
      </c>
      <c r="B12" s="40">
        <v>-1.9</v>
      </c>
      <c r="C12" s="14">
        <v>0.8</v>
      </c>
      <c r="D12" s="14">
        <v>-4.3</v>
      </c>
      <c r="E12" s="14">
        <v>0.8</v>
      </c>
      <c r="F12" s="14">
        <v>-5.0999999999999996</v>
      </c>
      <c r="G12" s="30">
        <f t="shared" si="0"/>
        <v>5.8999999999999995</v>
      </c>
      <c r="H12" s="30">
        <f t="shared" si="1"/>
        <v>-2.4249999999999998</v>
      </c>
      <c r="I12" s="78">
        <v>-2.0606733524355278</v>
      </c>
      <c r="J12" s="14">
        <v>-1.6</v>
      </c>
      <c r="K12" s="14">
        <v>-6</v>
      </c>
      <c r="L12" s="78">
        <v>-3.4748567335243461</v>
      </c>
      <c r="M12" s="84">
        <v>94.1</v>
      </c>
      <c r="N12" s="24">
        <v>80.8</v>
      </c>
      <c r="O12" s="80">
        <v>90.066475644699139</v>
      </c>
      <c r="P12" s="117">
        <v>1025.1057017166499</v>
      </c>
      <c r="Q12" s="21">
        <v>1022.82341905508</v>
      </c>
      <c r="R12" s="66">
        <v>1023.9747154561779</v>
      </c>
      <c r="S12" s="71">
        <v>3.1000077050219446</v>
      </c>
      <c r="T12" s="61">
        <v>1.6758970225593806</v>
      </c>
      <c r="U12" s="25">
        <v>0.36759267951902203</v>
      </c>
      <c r="V12" s="218" t="s">
        <v>237</v>
      </c>
      <c r="W12" s="220"/>
      <c r="X12" s="16">
        <v>0</v>
      </c>
      <c r="Y12" s="17">
        <v>0</v>
      </c>
      <c r="Z12" s="18">
        <v>0</v>
      </c>
      <c r="AA12" s="43">
        <v>0</v>
      </c>
      <c r="AB12" s="319" t="s">
        <v>212</v>
      </c>
    </row>
    <row r="13" spans="1:28" s="20" customFormat="1" x14ac:dyDescent="0.3">
      <c r="A13" s="39">
        <v>44207</v>
      </c>
      <c r="B13" s="40">
        <v>-4.4000000000000004</v>
      </c>
      <c r="C13" s="14">
        <v>0.6</v>
      </c>
      <c r="D13" s="14">
        <v>-6.5</v>
      </c>
      <c r="E13" s="14">
        <v>1.6</v>
      </c>
      <c r="F13" s="14">
        <v>-8.3000000000000007</v>
      </c>
      <c r="G13" s="30">
        <f t="shared" si="0"/>
        <v>9.9</v>
      </c>
      <c r="H13" s="30">
        <f t="shared" si="1"/>
        <v>-4.2</v>
      </c>
      <c r="I13" s="78">
        <v>-3.3793750000000027</v>
      </c>
      <c r="J13" s="14">
        <v>-1.1000000000000001</v>
      </c>
      <c r="K13" s="14">
        <v>-9.5</v>
      </c>
      <c r="L13" s="78">
        <v>-5.2375694444444454</v>
      </c>
      <c r="M13" s="84">
        <v>95.1</v>
      </c>
      <c r="N13" s="24">
        <v>71.5</v>
      </c>
      <c r="O13" s="80">
        <v>87.286736111111125</v>
      </c>
      <c r="P13" s="117">
        <v>1023.81689592535</v>
      </c>
      <c r="Q13" s="21">
        <v>1020.20754174313</v>
      </c>
      <c r="R13" s="66">
        <v>1021.8279846800807</v>
      </c>
      <c r="S13" s="71">
        <v>5.1000126760038338</v>
      </c>
      <c r="T13" s="61">
        <v>2.9714359568873858</v>
      </c>
      <c r="U13" s="25">
        <v>0.99223956937093938</v>
      </c>
      <c r="V13" s="218" t="s">
        <v>238</v>
      </c>
      <c r="W13" s="220"/>
      <c r="X13" s="16">
        <v>0</v>
      </c>
      <c r="Y13" s="17">
        <v>0</v>
      </c>
      <c r="Z13" s="18">
        <v>0</v>
      </c>
      <c r="AA13" s="43">
        <v>0</v>
      </c>
      <c r="AB13" s="319" t="s">
        <v>211</v>
      </c>
    </row>
    <row r="14" spans="1:28" s="20" customFormat="1" x14ac:dyDescent="0.3">
      <c r="A14" s="39">
        <v>44208</v>
      </c>
      <c r="B14" s="40">
        <v>-8.1999999999999993</v>
      </c>
      <c r="C14" s="14">
        <v>2.4</v>
      </c>
      <c r="D14" s="14">
        <v>-0.5</v>
      </c>
      <c r="E14" s="14">
        <v>2.6</v>
      </c>
      <c r="F14" s="14">
        <v>-9.1</v>
      </c>
      <c r="G14" s="30">
        <f t="shared" si="0"/>
        <v>11.7</v>
      </c>
      <c r="H14" s="30">
        <f t="shared" si="1"/>
        <v>-1.6999999999999997</v>
      </c>
      <c r="I14" s="78">
        <v>-3.2790972222222416</v>
      </c>
      <c r="J14" s="14">
        <v>-1.4</v>
      </c>
      <c r="K14" s="14">
        <v>-10.3</v>
      </c>
      <c r="L14" s="78">
        <v>-5.9950694444444341</v>
      </c>
      <c r="M14" s="84">
        <v>93.6</v>
      </c>
      <c r="N14" s="24">
        <v>63</v>
      </c>
      <c r="O14" s="80">
        <v>82.282152777777824</v>
      </c>
      <c r="P14" s="117">
        <v>1020.17308906722</v>
      </c>
      <c r="Q14" s="21">
        <v>1006.79553354444</v>
      </c>
      <c r="R14" s="66">
        <v>1013.2077912936547</v>
      </c>
      <c r="S14" s="71">
        <v>11.200027837498611</v>
      </c>
      <c r="T14" s="61">
        <v>6.7428739021675277</v>
      </c>
      <c r="U14" s="25">
        <v>2.1595105757639779</v>
      </c>
      <c r="V14" s="218" t="s">
        <v>232</v>
      </c>
      <c r="W14" s="220" t="s">
        <v>216</v>
      </c>
      <c r="X14" s="16">
        <v>1.2</v>
      </c>
      <c r="Y14" s="17">
        <v>3</v>
      </c>
      <c r="Z14" s="18">
        <v>0</v>
      </c>
      <c r="AA14" s="43">
        <v>0</v>
      </c>
      <c r="AB14" s="319" t="s">
        <v>217</v>
      </c>
    </row>
    <row r="15" spans="1:28" s="225" customFormat="1" x14ac:dyDescent="0.3">
      <c r="A15" s="39">
        <v>44209</v>
      </c>
      <c r="B15" s="329">
        <v>-2.5</v>
      </c>
      <c r="C15" s="330">
        <v>2.5</v>
      </c>
      <c r="D15" s="330">
        <v>-1.3</v>
      </c>
      <c r="E15" s="330">
        <v>7.8</v>
      </c>
      <c r="F15" s="330">
        <v>-2.9</v>
      </c>
      <c r="G15" s="30">
        <f t="shared" si="0"/>
        <v>10.7</v>
      </c>
      <c r="H15" s="30">
        <f t="shared" si="1"/>
        <v>-0.65</v>
      </c>
      <c r="I15" s="331">
        <v>-0.62854166666666511</v>
      </c>
      <c r="J15" s="330">
        <v>2.4</v>
      </c>
      <c r="K15" s="330">
        <v>-3.9</v>
      </c>
      <c r="L15" s="331">
        <v>-2.4897916666666804</v>
      </c>
      <c r="M15" s="332">
        <v>95.4</v>
      </c>
      <c r="N15" s="333">
        <v>64</v>
      </c>
      <c r="O15" s="334">
        <v>87.68263888888896</v>
      </c>
      <c r="P15" s="335">
        <v>1008.74660635137</v>
      </c>
      <c r="Q15" s="336">
        <v>1005.7602759443899</v>
      </c>
      <c r="R15" s="337">
        <v>1007.377205640328</v>
      </c>
      <c r="S15" s="338">
        <v>5.8000144158475004</v>
      </c>
      <c r="T15" s="339">
        <v>3.9142954432074308</v>
      </c>
      <c r="U15" s="340">
        <v>0.84783196838455543</v>
      </c>
      <c r="V15" s="341" t="s">
        <v>231</v>
      </c>
      <c r="W15" s="221" t="s">
        <v>216</v>
      </c>
      <c r="X15" s="342">
        <v>1.2</v>
      </c>
      <c r="Y15" s="343">
        <v>3</v>
      </c>
      <c r="Z15" s="344">
        <v>5.5</v>
      </c>
      <c r="AA15" s="345">
        <v>5.5</v>
      </c>
      <c r="AB15" s="328" t="s">
        <v>218</v>
      </c>
    </row>
    <row r="16" spans="1:28" s="20" customFormat="1" x14ac:dyDescent="0.3">
      <c r="A16" s="39">
        <v>44210</v>
      </c>
      <c r="B16" s="40">
        <v>-3.4</v>
      </c>
      <c r="C16" s="14">
        <v>1.3</v>
      </c>
      <c r="D16" s="14">
        <v>-2.8</v>
      </c>
      <c r="E16" s="14">
        <v>2.1</v>
      </c>
      <c r="F16" s="14">
        <v>-3.5</v>
      </c>
      <c r="G16" s="30">
        <f t="shared" si="0"/>
        <v>5.6</v>
      </c>
      <c r="H16" s="30">
        <f t="shared" si="1"/>
        <v>-1.9249999999999998</v>
      </c>
      <c r="I16" s="78">
        <v>-1.7196527777777779</v>
      </c>
      <c r="J16" s="14">
        <v>-0.9</v>
      </c>
      <c r="K16" s="14">
        <v>-5</v>
      </c>
      <c r="L16" s="78">
        <v>-3.2352777777777755</v>
      </c>
      <c r="M16" s="84">
        <v>95</v>
      </c>
      <c r="N16" s="24">
        <v>76.7</v>
      </c>
      <c r="O16" s="80">
        <v>89.485069444444576</v>
      </c>
      <c r="P16" s="117">
        <v>1012.01444872042</v>
      </c>
      <c r="Q16" s="21">
        <v>1003.78540347182</v>
      </c>
      <c r="R16" s="66">
        <v>1006.9863894545441</v>
      </c>
      <c r="S16" s="71">
        <v>5.4000134216511109</v>
      </c>
      <c r="T16" s="61">
        <v>3.4294728096167217</v>
      </c>
      <c r="U16" s="25">
        <v>0.79342335100990857</v>
      </c>
      <c r="V16" s="218" t="s">
        <v>238</v>
      </c>
      <c r="W16" s="221" t="s">
        <v>216</v>
      </c>
      <c r="X16" s="26">
        <v>1.2</v>
      </c>
      <c r="Y16" s="27">
        <v>0.5</v>
      </c>
      <c r="Z16" s="28">
        <v>4.5</v>
      </c>
      <c r="AA16" s="29">
        <v>8</v>
      </c>
      <c r="AB16" s="320" t="s">
        <v>219</v>
      </c>
    </row>
    <row r="17" spans="1:28" s="20" customFormat="1" x14ac:dyDescent="0.3">
      <c r="A17" s="39">
        <v>44211</v>
      </c>
      <c r="B17" s="40">
        <v>-3.4</v>
      </c>
      <c r="C17" s="14">
        <v>-2.4</v>
      </c>
      <c r="D17" s="14">
        <v>-8.8000000000000007</v>
      </c>
      <c r="E17" s="14">
        <v>0.8</v>
      </c>
      <c r="F17" s="14">
        <v>-9.5</v>
      </c>
      <c r="G17" s="30">
        <f t="shared" si="0"/>
        <v>10.3</v>
      </c>
      <c r="H17" s="30">
        <f t="shared" si="1"/>
        <v>-5.8500000000000005</v>
      </c>
      <c r="I17" s="78">
        <v>-4.5519444444444366</v>
      </c>
      <c r="J17" s="14">
        <v>-3.1</v>
      </c>
      <c r="K17" s="14">
        <v>-11.9</v>
      </c>
      <c r="L17" s="78">
        <v>-7.7263888888888816</v>
      </c>
      <c r="M17" s="84">
        <v>89.9</v>
      </c>
      <c r="N17" s="24">
        <v>53.7</v>
      </c>
      <c r="O17" s="80">
        <v>79.143194444444475</v>
      </c>
      <c r="P17" s="117">
        <v>1018.47327630537</v>
      </c>
      <c r="Q17" s="21">
        <v>1012.00591089172</v>
      </c>
      <c r="R17" s="66">
        <v>1016.1269531463061</v>
      </c>
      <c r="S17" s="71">
        <v>9.500023612164</v>
      </c>
      <c r="T17" s="61">
        <v>5.7785857911584024</v>
      </c>
      <c r="U17" s="25">
        <v>1.520037260172316</v>
      </c>
      <c r="V17" s="218" t="s">
        <v>240</v>
      </c>
      <c r="W17" s="221" t="s">
        <v>216</v>
      </c>
      <c r="X17" s="26">
        <v>1.2</v>
      </c>
      <c r="Y17" s="27">
        <v>1.5</v>
      </c>
      <c r="Z17" s="28">
        <v>4</v>
      </c>
      <c r="AA17" s="29">
        <v>12</v>
      </c>
      <c r="AB17" s="320" t="s">
        <v>219</v>
      </c>
    </row>
    <row r="18" spans="1:28" s="20" customFormat="1" x14ac:dyDescent="0.3">
      <c r="A18" s="39">
        <v>44212</v>
      </c>
      <c r="B18" s="40">
        <v>-11.7</v>
      </c>
      <c r="C18" s="14">
        <v>-0.4</v>
      </c>
      <c r="D18" s="14">
        <v>-6</v>
      </c>
      <c r="E18" s="14">
        <v>-0.1</v>
      </c>
      <c r="F18" s="14">
        <v>-12.3</v>
      </c>
      <c r="G18" s="30">
        <f t="shared" si="0"/>
        <v>12.200000000000001</v>
      </c>
      <c r="H18" s="30">
        <f t="shared" si="1"/>
        <v>-6.0250000000000004</v>
      </c>
      <c r="I18" s="78">
        <v>-6.1140972222222256</v>
      </c>
      <c r="J18" s="14">
        <v>-4.3</v>
      </c>
      <c r="K18" s="14">
        <v>-14.2</v>
      </c>
      <c r="L18" s="78">
        <v>-8.7940277777777585</v>
      </c>
      <c r="M18" s="84">
        <v>92.7</v>
      </c>
      <c r="N18" s="24">
        <v>63.2</v>
      </c>
      <c r="O18" s="80">
        <v>81.688055555555508</v>
      </c>
      <c r="P18" s="117">
        <v>1019.43594562941</v>
      </c>
      <c r="Q18" s="21">
        <v>1014.89932703333</v>
      </c>
      <c r="R18" s="66">
        <v>1017.2700691675042</v>
      </c>
      <c r="S18" s="71">
        <v>8.5000211266730545</v>
      </c>
      <c r="T18" s="61">
        <v>4.6857259320147229</v>
      </c>
      <c r="U18" s="25">
        <v>0.67797374197171623</v>
      </c>
      <c r="V18" s="218" t="s">
        <v>240</v>
      </c>
      <c r="W18" s="221" t="s">
        <v>216</v>
      </c>
      <c r="X18" s="26">
        <v>1.2</v>
      </c>
      <c r="Y18" s="27">
        <v>1.4</v>
      </c>
      <c r="Z18" s="28">
        <v>1</v>
      </c>
      <c r="AA18" s="29">
        <v>9</v>
      </c>
      <c r="AB18" s="320" t="s">
        <v>221</v>
      </c>
    </row>
    <row r="19" spans="1:28" s="20" customFormat="1" x14ac:dyDescent="0.3">
      <c r="A19" s="39">
        <v>44213</v>
      </c>
      <c r="B19" s="40">
        <v>-6.9</v>
      </c>
      <c r="C19" s="14">
        <v>-2.8</v>
      </c>
      <c r="D19" s="14">
        <v>-8.3000000000000007</v>
      </c>
      <c r="E19" s="14">
        <v>-2.5</v>
      </c>
      <c r="F19" s="14">
        <v>-9.8000000000000007</v>
      </c>
      <c r="G19" s="30">
        <f t="shared" si="0"/>
        <v>7.3000000000000007</v>
      </c>
      <c r="H19" s="30">
        <f t="shared" si="1"/>
        <v>-6.5750000000000002</v>
      </c>
      <c r="I19" s="78">
        <v>-6.1038194444444471</v>
      </c>
      <c r="J19" s="14">
        <v>-6</v>
      </c>
      <c r="K19" s="14">
        <v>-12.1</v>
      </c>
      <c r="L19" s="78">
        <v>-8.4447916666666369</v>
      </c>
      <c r="M19" s="84">
        <v>91.5</v>
      </c>
      <c r="N19" s="24">
        <v>75.3</v>
      </c>
      <c r="O19" s="80">
        <v>83.557222222222308</v>
      </c>
      <c r="P19" s="117">
        <v>1022.46104163788</v>
      </c>
      <c r="Q19" s="21">
        <v>1013.9130060249601</v>
      </c>
      <c r="R19" s="66">
        <v>1017.6817246867031</v>
      </c>
      <c r="S19" s="71">
        <v>6.1000151614947775</v>
      </c>
      <c r="T19" s="61">
        <v>3.8071523197619719</v>
      </c>
      <c r="U19" s="25">
        <v>1.5380763261721619</v>
      </c>
      <c r="V19" s="218" t="s">
        <v>268</v>
      </c>
      <c r="W19" s="221" t="s">
        <v>220</v>
      </c>
      <c r="X19" s="26">
        <v>0</v>
      </c>
      <c r="Y19" s="27">
        <v>0</v>
      </c>
      <c r="Z19" s="28">
        <v>1.5</v>
      </c>
      <c r="AA19" s="29">
        <v>9</v>
      </c>
      <c r="AB19" s="320" t="s">
        <v>222</v>
      </c>
    </row>
    <row r="20" spans="1:28" s="20" customFormat="1" ht="28.8" x14ac:dyDescent="0.3">
      <c r="A20" s="39">
        <v>44214</v>
      </c>
      <c r="B20" s="40">
        <v>-12.2</v>
      </c>
      <c r="C20" s="14">
        <v>-5.9</v>
      </c>
      <c r="D20" s="14">
        <v>-16.100000000000001</v>
      </c>
      <c r="E20" s="14">
        <v>-5.3</v>
      </c>
      <c r="F20" s="14">
        <v>-16.100000000000001</v>
      </c>
      <c r="G20" s="30">
        <f t="shared" si="0"/>
        <v>10.8</v>
      </c>
      <c r="H20" s="30">
        <f t="shared" si="1"/>
        <v>-12.575000000000001</v>
      </c>
      <c r="I20" s="78">
        <v>-11.229791666666657</v>
      </c>
      <c r="J20" s="14">
        <v>-9.8000000000000007</v>
      </c>
      <c r="K20" s="14">
        <v>-17.899999999999999</v>
      </c>
      <c r="L20" s="78">
        <v>-13.919513888888847</v>
      </c>
      <c r="M20" s="84">
        <v>89.8</v>
      </c>
      <c r="N20" s="24">
        <v>62.5</v>
      </c>
      <c r="O20" s="80">
        <v>81.070000000000036</v>
      </c>
      <c r="P20" s="117">
        <v>1024.30687778834</v>
      </c>
      <c r="Q20" s="21">
        <v>1021.97968894139</v>
      </c>
      <c r="R20" s="66">
        <v>1022.9439059415222</v>
      </c>
      <c r="S20" s="71">
        <v>3.1000077050219446</v>
      </c>
      <c r="T20" s="61">
        <v>1.7928615989873402</v>
      </c>
      <c r="U20" s="25">
        <v>0.44503458826954795</v>
      </c>
      <c r="V20" s="218" t="s">
        <v>243</v>
      </c>
      <c r="W20" s="221" t="s">
        <v>216</v>
      </c>
      <c r="X20" s="26">
        <v>1.2</v>
      </c>
      <c r="Y20" s="27">
        <v>1.9</v>
      </c>
      <c r="Z20" s="28">
        <v>0</v>
      </c>
      <c r="AA20" s="29">
        <v>8.5</v>
      </c>
      <c r="AB20" s="320" t="s">
        <v>223</v>
      </c>
    </row>
    <row r="21" spans="1:28" s="20" customFormat="1" x14ac:dyDescent="0.3">
      <c r="A21" s="39">
        <v>44215</v>
      </c>
      <c r="B21" s="40">
        <v>-9</v>
      </c>
      <c r="C21" s="14">
        <v>-5.6</v>
      </c>
      <c r="D21" s="14">
        <v>-5.4</v>
      </c>
      <c r="E21" s="14">
        <v>-4.5</v>
      </c>
      <c r="F21" s="14">
        <v>-13.2</v>
      </c>
      <c r="G21" s="30">
        <f t="shared" si="0"/>
        <v>8.6999999999999993</v>
      </c>
      <c r="H21" s="30">
        <f t="shared" si="1"/>
        <v>-6.35</v>
      </c>
      <c r="I21" s="78">
        <v>-7.3754861111111163</v>
      </c>
      <c r="J21" s="14">
        <v>-5.4</v>
      </c>
      <c r="K21" s="14">
        <v>-14.9</v>
      </c>
      <c r="L21" s="78">
        <v>-8.8331944444444499</v>
      </c>
      <c r="M21" s="84">
        <v>93.4</v>
      </c>
      <c r="N21" s="24">
        <v>84.3</v>
      </c>
      <c r="O21" s="80">
        <v>89.250277777777768</v>
      </c>
      <c r="P21" s="117">
        <v>1023.99858919177</v>
      </c>
      <c r="Q21" s="21">
        <v>1015.43637706168</v>
      </c>
      <c r="R21" s="66">
        <v>1020.4626442703042</v>
      </c>
      <c r="S21" s="71">
        <v>9.500023612164</v>
      </c>
      <c r="T21" s="61">
        <v>5.7428714166765698</v>
      </c>
      <c r="U21" s="25">
        <v>1.9397493648682966</v>
      </c>
      <c r="V21" s="218" t="s">
        <v>232</v>
      </c>
      <c r="W21" s="221" t="s">
        <v>216</v>
      </c>
      <c r="X21" s="26">
        <v>1.2</v>
      </c>
      <c r="Y21" s="27">
        <v>1.5</v>
      </c>
      <c r="Z21" s="28">
        <v>3</v>
      </c>
      <c r="AA21" s="29">
        <v>11</v>
      </c>
      <c r="AB21" s="320" t="s">
        <v>225</v>
      </c>
    </row>
    <row r="22" spans="1:28" s="20" customFormat="1" x14ac:dyDescent="0.3">
      <c r="A22" s="39">
        <v>44216</v>
      </c>
      <c r="B22" s="40">
        <v>-3.8</v>
      </c>
      <c r="C22" s="14">
        <v>-0.2</v>
      </c>
      <c r="D22" s="14">
        <v>0.4</v>
      </c>
      <c r="E22" s="14">
        <v>0.8</v>
      </c>
      <c r="F22" s="14">
        <v>-4.5</v>
      </c>
      <c r="G22" s="30">
        <f t="shared" si="0"/>
        <v>5.3</v>
      </c>
      <c r="H22" s="30">
        <f t="shared" si="1"/>
        <v>-0.8</v>
      </c>
      <c r="I22" s="78">
        <v>-1.3803472222222231</v>
      </c>
      <c r="J22" s="14">
        <v>0</v>
      </c>
      <c r="K22" s="14">
        <v>-5.5</v>
      </c>
      <c r="L22" s="78">
        <v>-2.5909027777777704</v>
      </c>
      <c r="M22" s="84">
        <v>94.9</v>
      </c>
      <c r="N22" s="24">
        <v>85.1</v>
      </c>
      <c r="O22" s="80">
        <v>91.440347222222442</v>
      </c>
      <c r="P22" s="117">
        <v>1017.75196747813</v>
      </c>
      <c r="Q22" s="21">
        <v>1014.4899854185099</v>
      </c>
      <c r="R22" s="66">
        <v>1016.3603698446959</v>
      </c>
      <c r="S22" s="71">
        <v>10.200025352007668</v>
      </c>
      <c r="T22" s="61">
        <v>7.6357332642130142</v>
      </c>
      <c r="U22" s="25">
        <v>2.7356036851144463</v>
      </c>
      <c r="V22" s="218" t="s">
        <v>232</v>
      </c>
      <c r="W22" s="221" t="s">
        <v>224</v>
      </c>
      <c r="X22" s="26">
        <v>0</v>
      </c>
      <c r="Y22" s="27">
        <v>0</v>
      </c>
      <c r="Z22" s="28">
        <v>2</v>
      </c>
      <c r="AA22" s="29">
        <v>10.5</v>
      </c>
      <c r="AB22" s="320" t="s">
        <v>222</v>
      </c>
    </row>
    <row r="23" spans="1:28" s="20" customFormat="1" x14ac:dyDescent="0.3">
      <c r="A23" s="39">
        <v>44217</v>
      </c>
      <c r="B23" s="40">
        <v>1.7</v>
      </c>
      <c r="C23" s="14">
        <v>3.6</v>
      </c>
      <c r="D23" s="14">
        <v>5</v>
      </c>
      <c r="E23" s="14">
        <v>5.3</v>
      </c>
      <c r="F23" s="14">
        <v>0.7</v>
      </c>
      <c r="G23" s="30">
        <f t="shared" si="0"/>
        <v>4.5999999999999996</v>
      </c>
      <c r="H23" s="30">
        <f t="shared" si="1"/>
        <v>3.8250000000000002</v>
      </c>
      <c r="I23" s="78">
        <v>3.0223611111111066</v>
      </c>
      <c r="J23" s="14">
        <v>3.4</v>
      </c>
      <c r="K23" s="14">
        <v>-0.2</v>
      </c>
      <c r="L23" s="78">
        <v>1.2965277777777795</v>
      </c>
      <c r="M23" s="84">
        <v>94.2</v>
      </c>
      <c r="N23" s="24">
        <v>82.4</v>
      </c>
      <c r="O23" s="80">
        <v>88.473333333333258</v>
      </c>
      <c r="P23" s="117">
        <v>1016.33134307135</v>
      </c>
      <c r="Q23" s="21">
        <v>1010.6385079138601</v>
      </c>
      <c r="R23" s="66">
        <v>1012.7171268184518</v>
      </c>
      <c r="S23" s="71">
        <v>12.900032062833221</v>
      </c>
      <c r="T23" s="61">
        <v>8.3071635044712231</v>
      </c>
      <c r="U23" s="25">
        <v>4.8451862888057837</v>
      </c>
      <c r="V23" s="218" t="s">
        <v>232</v>
      </c>
      <c r="W23" s="221" t="s">
        <v>224</v>
      </c>
      <c r="X23" s="26">
        <v>0</v>
      </c>
      <c r="Y23" s="27">
        <v>0</v>
      </c>
      <c r="Z23" s="28">
        <v>0</v>
      </c>
      <c r="AA23" s="29">
        <v>6</v>
      </c>
      <c r="AB23" s="320" t="s">
        <v>222</v>
      </c>
    </row>
    <row r="24" spans="1:28" s="20" customFormat="1" x14ac:dyDescent="0.3">
      <c r="A24" s="39">
        <v>44218</v>
      </c>
      <c r="B24" s="40">
        <v>3.4</v>
      </c>
      <c r="C24" s="14">
        <v>7</v>
      </c>
      <c r="D24" s="14">
        <v>5.0999999999999996</v>
      </c>
      <c r="E24" s="14">
        <v>7.2</v>
      </c>
      <c r="F24" s="14">
        <v>3.2</v>
      </c>
      <c r="G24" s="30">
        <f t="shared" si="0"/>
        <v>4</v>
      </c>
      <c r="H24" s="30">
        <f t="shared" si="1"/>
        <v>5.15</v>
      </c>
      <c r="I24" s="78">
        <v>5.1913888888888913</v>
      </c>
      <c r="J24" s="14">
        <v>5.2</v>
      </c>
      <c r="K24" s="14">
        <v>1.7</v>
      </c>
      <c r="L24" s="78">
        <v>3.394722222222232</v>
      </c>
      <c r="M24" s="84">
        <v>95.5</v>
      </c>
      <c r="N24" s="24">
        <v>79.5</v>
      </c>
      <c r="O24" s="80">
        <v>88.219930555555607</v>
      </c>
      <c r="P24" s="117">
        <v>1010.6777829306</v>
      </c>
      <c r="Q24" s="21">
        <v>1005.02244826573</v>
      </c>
      <c r="R24" s="66">
        <v>1007.0380593676647</v>
      </c>
      <c r="S24" s="71">
        <v>11.900029577342277</v>
      </c>
      <c r="T24" s="61">
        <v>7.4785900164930137</v>
      </c>
      <c r="U24" s="25">
        <v>2.720344062961038</v>
      </c>
      <c r="V24" s="218" t="s">
        <v>232</v>
      </c>
      <c r="W24" s="221" t="s">
        <v>213</v>
      </c>
      <c r="X24" s="26">
        <v>1.2</v>
      </c>
      <c r="Y24" s="27">
        <v>0.1</v>
      </c>
      <c r="Z24" s="28">
        <v>0</v>
      </c>
      <c r="AA24" s="29">
        <v>0</v>
      </c>
      <c r="AB24" s="320" t="s">
        <v>226</v>
      </c>
    </row>
    <row r="25" spans="1:28" s="20" customFormat="1" x14ac:dyDescent="0.3">
      <c r="A25" s="39">
        <v>44219</v>
      </c>
      <c r="B25" s="40">
        <v>6.1</v>
      </c>
      <c r="C25" s="14">
        <v>8.3000000000000007</v>
      </c>
      <c r="D25" s="14">
        <v>8.4</v>
      </c>
      <c r="E25" s="14">
        <v>8.8000000000000007</v>
      </c>
      <c r="F25" s="14">
        <v>5.9</v>
      </c>
      <c r="G25" s="30">
        <f t="shared" si="0"/>
        <v>2.9000000000000004</v>
      </c>
      <c r="H25" s="30">
        <f t="shared" si="1"/>
        <v>7.8000000000000007</v>
      </c>
      <c r="I25" s="78">
        <v>7.307569444444419</v>
      </c>
      <c r="J25" s="14">
        <v>4.8</v>
      </c>
      <c r="K25" s="14">
        <v>3.6</v>
      </c>
      <c r="L25" s="78">
        <v>4.2244444444444307</v>
      </c>
      <c r="M25" s="84">
        <v>91.2</v>
      </c>
      <c r="N25" s="24">
        <v>73.7</v>
      </c>
      <c r="O25" s="80">
        <v>80.923749999999927</v>
      </c>
      <c r="P25" s="117">
        <v>1005.3213826541501</v>
      </c>
      <c r="Q25" s="21">
        <v>997.61796873894605</v>
      </c>
      <c r="R25" s="66">
        <v>1001.2663744907269</v>
      </c>
      <c r="S25" s="71">
        <v>11.900029577342277</v>
      </c>
      <c r="T25" s="61">
        <v>8.0428771333057494</v>
      </c>
      <c r="U25" s="25">
        <v>3.2303527710561051</v>
      </c>
      <c r="V25" s="218" t="s">
        <v>231</v>
      </c>
      <c r="W25" s="221" t="s">
        <v>213</v>
      </c>
      <c r="X25" s="26">
        <v>1.2</v>
      </c>
      <c r="Y25" s="27">
        <v>1.3</v>
      </c>
      <c r="Z25" s="28">
        <v>0</v>
      </c>
      <c r="AA25" s="29">
        <v>0</v>
      </c>
      <c r="AB25" s="320" t="s">
        <v>227</v>
      </c>
    </row>
    <row r="26" spans="1:28" s="20" customFormat="1" x14ac:dyDescent="0.3">
      <c r="A26" s="39">
        <v>44220</v>
      </c>
      <c r="B26" s="40">
        <v>6.1</v>
      </c>
      <c r="C26" s="14">
        <v>7.3</v>
      </c>
      <c r="D26" s="14">
        <v>2</v>
      </c>
      <c r="E26" s="14">
        <v>8.5</v>
      </c>
      <c r="F26" s="14">
        <v>1.9</v>
      </c>
      <c r="G26" s="30">
        <f t="shared" si="0"/>
        <v>6.6</v>
      </c>
      <c r="H26" s="30">
        <f t="shared" si="1"/>
        <v>4.3499999999999996</v>
      </c>
      <c r="I26" s="78">
        <v>5.2969986357435186</v>
      </c>
      <c r="J26" s="14">
        <v>6.5</v>
      </c>
      <c r="K26" s="14">
        <v>0.6</v>
      </c>
      <c r="L26" s="78">
        <v>3.6773533424283906</v>
      </c>
      <c r="M26" s="84">
        <v>94.7</v>
      </c>
      <c r="N26" s="24">
        <v>79.8</v>
      </c>
      <c r="O26" s="80">
        <v>89.404502046384749</v>
      </c>
      <c r="P26" s="117">
        <v>999.40310587066597</v>
      </c>
      <c r="Q26" s="21">
        <v>994.91486860727002</v>
      </c>
      <c r="R26" s="66">
        <v>996.81570024213897</v>
      </c>
      <c r="S26" s="71">
        <v>8.8000218723203325</v>
      </c>
      <c r="T26" s="61">
        <v>5.4642992957183889</v>
      </c>
      <c r="U26" s="25">
        <v>1.6834491246633496</v>
      </c>
      <c r="V26" s="218" t="s">
        <v>231</v>
      </c>
      <c r="W26" s="221" t="s">
        <v>215</v>
      </c>
      <c r="X26" s="26">
        <v>3.6</v>
      </c>
      <c r="Y26" s="27">
        <v>14.5</v>
      </c>
      <c r="Z26" s="28">
        <v>0</v>
      </c>
      <c r="AA26" s="29">
        <v>0</v>
      </c>
      <c r="AB26" s="320" t="s">
        <v>209</v>
      </c>
    </row>
    <row r="27" spans="1:28" s="20" customFormat="1" x14ac:dyDescent="0.3">
      <c r="A27" s="39">
        <v>44221</v>
      </c>
      <c r="B27" s="40">
        <v>0</v>
      </c>
      <c r="C27" s="14">
        <v>1.5</v>
      </c>
      <c r="D27" s="14">
        <v>-0.5</v>
      </c>
      <c r="E27" s="14">
        <v>2.6</v>
      </c>
      <c r="F27" s="14">
        <v>-0.9</v>
      </c>
      <c r="G27" s="30">
        <f t="shared" si="0"/>
        <v>3.5</v>
      </c>
      <c r="H27" s="30">
        <f t="shared" si="1"/>
        <v>0.125</v>
      </c>
      <c r="I27" s="78">
        <v>0.47333333333332434</v>
      </c>
      <c r="J27" s="14">
        <v>1.6</v>
      </c>
      <c r="K27" s="14">
        <v>-1.6</v>
      </c>
      <c r="L27" s="78">
        <v>-0.47194444444444211</v>
      </c>
      <c r="M27" s="84">
        <v>95.4</v>
      </c>
      <c r="N27" s="24">
        <v>87.7</v>
      </c>
      <c r="O27" s="80">
        <v>93.404097222222333</v>
      </c>
      <c r="P27" s="117">
        <v>1004.13572136596</v>
      </c>
      <c r="Q27" s="21">
        <v>995.16115188200104</v>
      </c>
      <c r="R27" s="66">
        <v>998.50265328482737</v>
      </c>
      <c r="S27" s="71">
        <v>4.8000119303565558</v>
      </c>
      <c r="T27" s="61">
        <v>3.0357218309546612</v>
      </c>
      <c r="U27" s="25">
        <v>0.18673161491223556</v>
      </c>
      <c r="V27" s="218" t="s">
        <v>240</v>
      </c>
      <c r="W27" s="221" t="s">
        <v>216</v>
      </c>
      <c r="X27" s="26">
        <v>3.6</v>
      </c>
      <c r="Y27" s="27">
        <v>8.6999999999999993</v>
      </c>
      <c r="Z27" s="28">
        <v>11.5</v>
      </c>
      <c r="AA27" s="29">
        <v>11.5</v>
      </c>
      <c r="AB27" s="320" t="s">
        <v>222</v>
      </c>
    </row>
    <row r="28" spans="1:28" s="20" customFormat="1" x14ac:dyDescent="0.3">
      <c r="A28" s="39">
        <v>44222</v>
      </c>
      <c r="B28" s="40">
        <v>-4.4000000000000004</v>
      </c>
      <c r="C28" s="14">
        <v>3.5</v>
      </c>
      <c r="D28" s="14">
        <v>-6.9</v>
      </c>
      <c r="E28" s="14">
        <v>4.5999999999999996</v>
      </c>
      <c r="F28" s="14">
        <v>-8.3000000000000007</v>
      </c>
      <c r="G28" s="30">
        <f>E28-F28</f>
        <v>12.9</v>
      </c>
      <c r="H28" s="30">
        <f t="shared" si="1"/>
        <v>-3.6750000000000003</v>
      </c>
      <c r="I28" s="78">
        <v>-2.0375000000000005</v>
      </c>
      <c r="J28" s="14">
        <v>0.7</v>
      </c>
      <c r="K28" s="14">
        <v>-9.5</v>
      </c>
      <c r="L28" s="78">
        <v>-3.8897222222222223</v>
      </c>
      <c r="M28" s="84">
        <v>96.3</v>
      </c>
      <c r="N28" s="24">
        <v>67.2</v>
      </c>
      <c r="O28" s="80">
        <v>87.590902777777828</v>
      </c>
      <c r="P28" s="117">
        <v>1013.73781472516</v>
      </c>
      <c r="Q28" s="21">
        <v>1004.14486863273</v>
      </c>
      <c r="R28" s="66">
        <v>1009.6769766085786</v>
      </c>
      <c r="S28" s="71">
        <v>5.4000134216511109</v>
      </c>
      <c r="T28" s="61">
        <v>2.54286346310555</v>
      </c>
      <c r="U28" s="25">
        <v>0.37822514642204708</v>
      </c>
      <c r="V28" s="218" t="s">
        <v>238</v>
      </c>
      <c r="W28" s="221" t="s">
        <v>220</v>
      </c>
      <c r="X28" s="26">
        <v>0</v>
      </c>
      <c r="Y28" s="27">
        <v>0</v>
      </c>
      <c r="Z28" s="28">
        <v>0</v>
      </c>
      <c r="AA28" s="29">
        <v>10</v>
      </c>
      <c r="AB28" s="320" t="s">
        <v>221</v>
      </c>
    </row>
    <row r="29" spans="1:28" s="20" customFormat="1" ht="28.8" x14ac:dyDescent="0.3">
      <c r="A29" s="39">
        <v>44223</v>
      </c>
      <c r="B29" s="40">
        <v>-11.2</v>
      </c>
      <c r="C29" s="14">
        <v>0.2</v>
      </c>
      <c r="D29" s="14">
        <v>-2.6</v>
      </c>
      <c r="E29" s="14">
        <v>0.9</v>
      </c>
      <c r="F29" s="14">
        <v>-11.6</v>
      </c>
      <c r="G29" s="30">
        <f t="shared" si="0"/>
        <v>12.5</v>
      </c>
      <c r="H29" s="30">
        <f t="shared" si="1"/>
        <v>-4.05</v>
      </c>
      <c r="I29" s="78">
        <v>-4.5811805555555782</v>
      </c>
      <c r="J29" s="14">
        <v>-2.1</v>
      </c>
      <c r="K29" s="14">
        <v>-12.9</v>
      </c>
      <c r="L29" s="78">
        <v>-6.4772916666666367</v>
      </c>
      <c r="M29" s="84">
        <v>92.9</v>
      </c>
      <c r="N29" s="24">
        <v>72.599999999999994</v>
      </c>
      <c r="O29" s="80">
        <v>86.788680555555601</v>
      </c>
      <c r="P29" s="117">
        <v>1014.37952146654</v>
      </c>
      <c r="Q29" s="21">
        <v>1012.44799410852</v>
      </c>
      <c r="R29" s="66">
        <v>1013.2672875860567</v>
      </c>
      <c r="S29" s="71">
        <v>4.1000101905128883</v>
      </c>
      <c r="T29" s="61">
        <v>2.0000049709818928</v>
      </c>
      <c r="U29" s="25">
        <v>0.22613523467472918</v>
      </c>
      <c r="V29" s="218" t="s">
        <v>235</v>
      </c>
      <c r="W29" s="221" t="s">
        <v>216</v>
      </c>
      <c r="X29" s="26">
        <v>1.2</v>
      </c>
      <c r="Y29" s="27">
        <v>0.2</v>
      </c>
      <c r="Z29" s="28">
        <v>0</v>
      </c>
      <c r="AA29" s="29">
        <v>9</v>
      </c>
      <c r="AB29" s="320" t="s">
        <v>228</v>
      </c>
    </row>
    <row r="30" spans="1:28" s="20" customFormat="1" x14ac:dyDescent="0.3">
      <c r="A30" s="39">
        <v>44224</v>
      </c>
      <c r="B30" s="40">
        <v>-5.7</v>
      </c>
      <c r="C30" s="14">
        <v>2.1</v>
      </c>
      <c r="D30" s="14">
        <v>-0.4</v>
      </c>
      <c r="E30" s="14">
        <v>3.6</v>
      </c>
      <c r="F30" s="14">
        <v>-6</v>
      </c>
      <c r="G30" s="30">
        <f t="shared" si="0"/>
        <v>9.6</v>
      </c>
      <c r="H30" s="30">
        <f t="shared" si="1"/>
        <v>-1.1000000000000001</v>
      </c>
      <c r="I30" s="78">
        <v>-0.87305555555555447</v>
      </c>
      <c r="J30" s="14">
        <v>-1.6</v>
      </c>
      <c r="K30" s="14">
        <v>-7.6</v>
      </c>
      <c r="L30" s="78">
        <v>-4.1535416666666629</v>
      </c>
      <c r="M30" s="84">
        <v>91.2</v>
      </c>
      <c r="N30" s="24">
        <v>56.6</v>
      </c>
      <c r="O30" s="80">
        <v>79.183263888888661</v>
      </c>
      <c r="P30" s="117">
        <v>1012.73982081522</v>
      </c>
      <c r="Q30" s="21">
        <v>1001.82858144106</v>
      </c>
      <c r="R30" s="66">
        <v>1008.3632855557339</v>
      </c>
      <c r="S30" s="71">
        <v>6.5000161556911662</v>
      </c>
      <c r="T30" s="61">
        <v>4.2357248135437917</v>
      </c>
      <c r="U30" s="25">
        <v>0.77028961295579934</v>
      </c>
      <c r="V30" s="218" t="s">
        <v>231</v>
      </c>
      <c r="W30" s="221" t="s">
        <v>216</v>
      </c>
      <c r="X30" s="26">
        <v>1.2</v>
      </c>
      <c r="Y30" s="27">
        <v>1.3</v>
      </c>
      <c r="Z30" s="28">
        <v>0.3</v>
      </c>
      <c r="AA30" s="29">
        <v>9</v>
      </c>
      <c r="AB30" s="320" t="s">
        <v>229</v>
      </c>
    </row>
    <row r="31" spans="1:28" s="20" customFormat="1" x14ac:dyDescent="0.3">
      <c r="A31" s="39">
        <v>44225</v>
      </c>
      <c r="B31" s="40">
        <v>-0.8</v>
      </c>
      <c r="C31" s="14">
        <v>1.2</v>
      </c>
      <c r="D31" s="14">
        <v>-0.1</v>
      </c>
      <c r="E31" s="14">
        <v>2.2000000000000002</v>
      </c>
      <c r="F31" s="14">
        <v>-0.9</v>
      </c>
      <c r="G31" s="30">
        <f t="shared" si="0"/>
        <v>3.1</v>
      </c>
      <c r="H31" s="30">
        <f t="shared" si="1"/>
        <v>4.9999999999999975E-2</v>
      </c>
      <c r="I31" s="78">
        <v>-7.3472222222221731E-2</v>
      </c>
      <c r="J31" s="14">
        <v>0.2</v>
      </c>
      <c r="K31" s="14">
        <v>-2</v>
      </c>
      <c r="L31" s="78">
        <v>-1.301944444444451</v>
      </c>
      <c r="M31" s="84">
        <v>94.2</v>
      </c>
      <c r="N31" s="24">
        <v>84.9</v>
      </c>
      <c r="O31" s="80">
        <v>91.408680555555577</v>
      </c>
      <c r="P31" s="117">
        <v>1001.9657831495</v>
      </c>
      <c r="Q31" s="21">
        <v>995.58864774137498</v>
      </c>
      <c r="R31" s="66">
        <v>999.6501096656807</v>
      </c>
      <c r="S31" s="71">
        <v>8.5000211266730545</v>
      </c>
      <c r="T31" s="61">
        <v>4.6937616662731392</v>
      </c>
      <c r="U31" s="25">
        <v>1.8939779217389916</v>
      </c>
      <c r="V31" s="218" t="s">
        <v>231</v>
      </c>
      <c r="W31" s="221" t="s">
        <v>216</v>
      </c>
      <c r="X31" s="26">
        <v>1.2</v>
      </c>
      <c r="Y31" s="27">
        <v>1.6</v>
      </c>
      <c r="Z31" s="28">
        <v>2</v>
      </c>
      <c r="AA31" s="29">
        <v>10.5</v>
      </c>
      <c r="AB31" s="320" t="s">
        <v>222</v>
      </c>
    </row>
    <row r="32" spans="1:28" s="20" customFormat="1" x14ac:dyDescent="0.3">
      <c r="A32" s="39">
        <v>44226</v>
      </c>
      <c r="B32" s="40">
        <v>-0.3</v>
      </c>
      <c r="C32" s="14">
        <v>1.3</v>
      </c>
      <c r="D32" s="14">
        <v>-2.2000000000000002</v>
      </c>
      <c r="E32" s="14">
        <v>2</v>
      </c>
      <c r="F32" s="14">
        <v>-3.3</v>
      </c>
      <c r="G32" s="30">
        <f t="shared" si="0"/>
        <v>5.3</v>
      </c>
      <c r="H32" s="30">
        <f>(B32+C32+2*D32)/4</f>
        <v>-0.85000000000000009</v>
      </c>
      <c r="I32" s="78">
        <v>-0.22166666666666685</v>
      </c>
      <c r="J32" s="14">
        <v>0.6</v>
      </c>
      <c r="K32" s="14">
        <v>-5.5</v>
      </c>
      <c r="L32" s="78">
        <v>-1.6286805555555588</v>
      </c>
      <c r="M32" s="84">
        <v>95.2</v>
      </c>
      <c r="N32" s="24">
        <v>82.8</v>
      </c>
      <c r="O32" s="80">
        <v>90.273819444444271</v>
      </c>
      <c r="P32" s="117">
        <v>1003.47640497348</v>
      </c>
      <c r="Q32" s="21">
        <v>994.42076346270301</v>
      </c>
      <c r="R32" s="66">
        <v>997.45865312938236</v>
      </c>
      <c r="S32" s="71">
        <v>7.5000186411821108</v>
      </c>
      <c r="T32" s="61">
        <v>4.5642970587765284</v>
      </c>
      <c r="U32" s="25">
        <v>1.4804972313406213</v>
      </c>
      <c r="V32" s="218" t="s">
        <v>239</v>
      </c>
      <c r="W32" s="221" t="s">
        <v>216</v>
      </c>
      <c r="X32" s="26">
        <v>2.4</v>
      </c>
      <c r="Y32" s="27">
        <v>1.1000000000000001</v>
      </c>
      <c r="Z32" s="28">
        <v>0.5</v>
      </c>
      <c r="AA32" s="29">
        <v>11</v>
      </c>
      <c r="AB32" s="320" t="s">
        <v>230</v>
      </c>
    </row>
    <row r="33" spans="1:29" s="399" customFormat="1" ht="15" thickBot="1" x14ac:dyDescent="0.35">
      <c r="A33" s="427">
        <v>44227</v>
      </c>
      <c r="B33" s="379">
        <v>-3.7</v>
      </c>
      <c r="C33" s="380">
        <v>0.2</v>
      </c>
      <c r="D33" s="380">
        <v>-9.1999999999999993</v>
      </c>
      <c r="E33" s="380">
        <v>1.7</v>
      </c>
      <c r="F33" s="380">
        <v>-10.9</v>
      </c>
      <c r="G33" s="380">
        <f>E33-F33</f>
        <v>12.6</v>
      </c>
      <c r="H33" s="380">
        <f>(B33+C33+2*D33)/4</f>
        <v>-5.4749999999999996</v>
      </c>
      <c r="I33" s="382">
        <v>-4.0668055555555496</v>
      </c>
      <c r="J33" s="380">
        <v>-3.9</v>
      </c>
      <c r="K33" s="380">
        <v>-12.5</v>
      </c>
      <c r="L33" s="382">
        <v>-7.0577777777777779</v>
      </c>
      <c r="M33" s="383">
        <v>91.6</v>
      </c>
      <c r="N33" s="384">
        <v>60.5</v>
      </c>
      <c r="O33" s="385">
        <v>80.357430555555609</v>
      </c>
      <c r="P33" s="386">
        <v>1008.02679805475</v>
      </c>
      <c r="Q33" s="387">
        <v>1003.18455814648</v>
      </c>
      <c r="R33" s="388">
        <v>1006.5368447117837</v>
      </c>
      <c r="S33" s="389"/>
      <c r="T33" s="390"/>
      <c r="U33" s="391"/>
      <c r="V33" s="392" t="s">
        <v>237</v>
      </c>
      <c r="W33" s="393"/>
      <c r="X33" s="394">
        <v>0</v>
      </c>
      <c r="Y33" s="395">
        <v>0</v>
      </c>
      <c r="Z33" s="396">
        <v>0</v>
      </c>
      <c r="AA33" s="397">
        <v>9</v>
      </c>
      <c r="AB33" s="398" t="s">
        <v>244</v>
      </c>
    </row>
    <row r="34" spans="1:29" s="417" customFormat="1" x14ac:dyDescent="0.3">
      <c r="A34" s="428">
        <v>44228</v>
      </c>
      <c r="B34" s="400">
        <v>-14</v>
      </c>
      <c r="C34" s="401">
        <v>1.5</v>
      </c>
      <c r="D34" s="401">
        <v>-4.7</v>
      </c>
      <c r="E34" s="401">
        <v>1.8</v>
      </c>
      <c r="F34" s="401">
        <v>-14.6</v>
      </c>
      <c r="G34" s="402">
        <f>E34-F34</f>
        <v>16.399999999999999</v>
      </c>
      <c r="H34" s="402">
        <f>(B34+C34+2*D34)/4</f>
        <v>-5.4749999999999996</v>
      </c>
      <c r="I34" s="403">
        <v>-6.5310841546626195</v>
      </c>
      <c r="J34" s="401">
        <v>-3.5</v>
      </c>
      <c r="K34" s="401">
        <v>-16.2</v>
      </c>
      <c r="L34" s="403">
        <v>-9.1884761182714065</v>
      </c>
      <c r="M34" s="404">
        <v>90.4</v>
      </c>
      <c r="N34" s="405">
        <v>64.400000000000006</v>
      </c>
      <c r="O34" s="406">
        <v>81.991584533737736</v>
      </c>
      <c r="P34" s="407">
        <v>1007.52269739754</v>
      </c>
      <c r="Q34" s="408">
        <v>1002.54946928282</v>
      </c>
      <c r="R34" s="409">
        <v>1004.7001479930218</v>
      </c>
      <c r="S34" s="372">
        <v>3.4000084506692221</v>
      </c>
      <c r="T34" s="373">
        <v>2.4142917149710001</v>
      </c>
      <c r="U34" s="373">
        <v>0.2121741726758716</v>
      </c>
      <c r="V34" s="374" t="s">
        <v>304</v>
      </c>
      <c r="W34" s="411" t="s">
        <v>224</v>
      </c>
      <c r="X34" s="412">
        <v>0</v>
      </c>
      <c r="Y34" s="413">
        <v>0</v>
      </c>
      <c r="Z34" s="414">
        <v>0</v>
      </c>
      <c r="AA34" s="415">
        <v>9</v>
      </c>
      <c r="AB34" s="416" t="s">
        <v>229</v>
      </c>
    </row>
    <row r="35" spans="1:29" s="20" customFormat="1" x14ac:dyDescent="0.3">
      <c r="A35" s="429">
        <v>44229</v>
      </c>
      <c r="B35" s="40">
        <v>-2</v>
      </c>
      <c r="C35" s="14">
        <v>2.8</v>
      </c>
      <c r="D35" s="14">
        <v>0.4</v>
      </c>
      <c r="E35" s="14">
        <v>3</v>
      </c>
      <c r="F35" s="14">
        <v>-4</v>
      </c>
      <c r="G35" s="76">
        <f>E35-F35</f>
        <v>7</v>
      </c>
      <c r="H35" s="76">
        <f>(B35+C35+2*D35)/4</f>
        <v>0.39999999999999997</v>
      </c>
      <c r="I35" s="78">
        <v>-0.16055555555555528</v>
      </c>
      <c r="J35" s="14">
        <v>0.6</v>
      </c>
      <c r="K35" s="14">
        <v>-5.8</v>
      </c>
      <c r="L35" s="78">
        <v>-1.6544444444444439</v>
      </c>
      <c r="M35" s="84">
        <v>92.6</v>
      </c>
      <c r="N35" s="24">
        <v>82.7</v>
      </c>
      <c r="O35" s="80">
        <v>89.696944444444199</v>
      </c>
      <c r="P35" s="117">
        <v>1012.19446630706</v>
      </c>
      <c r="Q35" s="21">
        <v>1007.4696313637201</v>
      </c>
      <c r="R35" s="66">
        <v>1010.2253506872845</v>
      </c>
      <c r="S35" s="71">
        <v>8.8000218723203325</v>
      </c>
      <c r="T35" s="61">
        <v>5.5392994821302075</v>
      </c>
      <c r="U35" s="25">
        <v>1.8012900260207241</v>
      </c>
      <c r="V35" s="218" t="s">
        <v>242</v>
      </c>
      <c r="W35" s="219" t="s">
        <v>224</v>
      </c>
      <c r="X35" s="16">
        <v>0</v>
      </c>
      <c r="Y35" s="17">
        <v>0</v>
      </c>
      <c r="Z35" s="18">
        <v>0</v>
      </c>
      <c r="AA35" s="43">
        <v>8.8000000000000007</v>
      </c>
      <c r="AB35" s="319" t="s">
        <v>226</v>
      </c>
    </row>
    <row r="36" spans="1:29" s="20" customFormat="1" x14ac:dyDescent="0.3">
      <c r="A36" s="429">
        <v>44230</v>
      </c>
      <c r="B36" s="40">
        <v>0.7</v>
      </c>
      <c r="C36" s="14">
        <v>2.2000000000000002</v>
      </c>
      <c r="D36" s="14">
        <v>2.2999999999999998</v>
      </c>
      <c r="E36" s="14">
        <v>4.5999999999999996</v>
      </c>
      <c r="F36" s="14">
        <v>-0.4</v>
      </c>
      <c r="G36" s="76">
        <f t="shared" ref="G36:G59" si="2">E36-F36</f>
        <v>5</v>
      </c>
      <c r="H36" s="76">
        <f t="shared" ref="H36:H59" si="3">(B36+C36+2*D36)/4</f>
        <v>1.875</v>
      </c>
      <c r="I36" s="78">
        <v>1.6054166666666649</v>
      </c>
      <c r="J36" s="14">
        <v>3.8</v>
      </c>
      <c r="K36" s="14">
        <v>-1.4</v>
      </c>
      <c r="L36" s="78">
        <v>0.41437499999999822</v>
      </c>
      <c r="M36" s="84">
        <v>95.3</v>
      </c>
      <c r="N36" s="24">
        <v>87.9</v>
      </c>
      <c r="O36" s="80">
        <v>91.776041666666714</v>
      </c>
      <c r="P36" s="117">
        <v>1011.96847558578</v>
      </c>
      <c r="Q36" s="21">
        <v>1004.1366394297301</v>
      </c>
      <c r="R36" s="66">
        <v>1010.0264036746347</v>
      </c>
      <c r="S36" s="71">
        <v>10.900027091851305</v>
      </c>
      <c r="T36" s="61">
        <v>7.3357325185657363</v>
      </c>
      <c r="U36" s="25">
        <v>2.9186084446330298</v>
      </c>
      <c r="V36" s="218" t="s">
        <v>232</v>
      </c>
      <c r="W36" s="219" t="s">
        <v>213</v>
      </c>
      <c r="X36" s="16">
        <v>2.4</v>
      </c>
      <c r="Y36" s="17">
        <v>2.2999999999999998</v>
      </c>
      <c r="Z36" s="18">
        <v>0</v>
      </c>
      <c r="AA36" s="43">
        <v>8</v>
      </c>
      <c r="AB36" s="319" t="s">
        <v>226</v>
      </c>
    </row>
    <row r="37" spans="1:29" s="20" customFormat="1" x14ac:dyDescent="0.3">
      <c r="A37" s="429">
        <v>44231</v>
      </c>
      <c r="B37" s="40">
        <v>1.5</v>
      </c>
      <c r="C37" s="14">
        <v>8.8000000000000007</v>
      </c>
      <c r="D37" s="14">
        <v>3.8</v>
      </c>
      <c r="E37" s="14">
        <v>9.3000000000000007</v>
      </c>
      <c r="F37" s="14">
        <v>1.1000000000000001</v>
      </c>
      <c r="G37" s="76">
        <f t="shared" si="2"/>
        <v>8.2000000000000011</v>
      </c>
      <c r="H37" s="76">
        <f t="shared" si="3"/>
        <v>4.4749999999999996</v>
      </c>
      <c r="I37" s="78">
        <v>4.2606944444444395</v>
      </c>
      <c r="J37" s="14">
        <v>5.3</v>
      </c>
      <c r="K37" s="14">
        <v>-0.4</v>
      </c>
      <c r="L37" s="78">
        <v>2.538541666666664</v>
      </c>
      <c r="M37" s="84">
        <v>97.7</v>
      </c>
      <c r="N37" s="24">
        <v>72.900000000000006</v>
      </c>
      <c r="O37" s="80">
        <v>88.883611111111151</v>
      </c>
      <c r="P37" s="117">
        <v>1017.90614110526</v>
      </c>
      <c r="Q37" s="21">
        <v>1003.39721550373</v>
      </c>
      <c r="R37" s="66">
        <v>1008.9635968929043</v>
      </c>
      <c r="S37" s="72">
        <v>6.8000169013384442</v>
      </c>
      <c r="T37" s="62">
        <v>4.3866180457294863</v>
      </c>
      <c r="U37" s="19">
        <v>1.269794307809232</v>
      </c>
      <c r="V37" s="218" t="s">
        <v>237</v>
      </c>
      <c r="W37" s="220" t="s">
        <v>213</v>
      </c>
      <c r="X37" s="16">
        <v>1.2</v>
      </c>
      <c r="Y37" s="17">
        <v>0.2</v>
      </c>
      <c r="Z37" s="18">
        <v>0</v>
      </c>
      <c r="AA37" s="43">
        <v>4</v>
      </c>
      <c r="AB37" s="319" t="s">
        <v>245</v>
      </c>
    </row>
    <row r="38" spans="1:29" s="20" customFormat="1" x14ac:dyDescent="0.3">
      <c r="A38" s="429">
        <v>44232</v>
      </c>
      <c r="B38" s="40">
        <v>-0.2</v>
      </c>
      <c r="C38" s="14">
        <v>3.4</v>
      </c>
      <c r="D38" s="14">
        <v>0.2</v>
      </c>
      <c r="E38" s="14">
        <v>3.6</v>
      </c>
      <c r="F38" s="14">
        <v>-0.4</v>
      </c>
      <c r="G38" s="76">
        <f t="shared" si="2"/>
        <v>4</v>
      </c>
      <c r="H38" s="76">
        <f t="shared" si="3"/>
        <v>0.89999999999999991</v>
      </c>
      <c r="I38" s="78">
        <v>1.0017361111111076</v>
      </c>
      <c r="J38" s="14">
        <v>1.4</v>
      </c>
      <c r="K38" s="14">
        <v>-2.1</v>
      </c>
      <c r="L38" s="78">
        <v>-0.53326388888888898</v>
      </c>
      <c r="M38" s="84">
        <v>95.2</v>
      </c>
      <c r="N38" s="24">
        <v>82.5</v>
      </c>
      <c r="O38" s="80">
        <v>89.547638888888969</v>
      </c>
      <c r="P38" s="117">
        <v>1020.13105041083</v>
      </c>
      <c r="Q38" s="21">
        <v>1017.33240819821</v>
      </c>
      <c r="R38" s="66">
        <v>1018.9047840990168</v>
      </c>
      <c r="S38" s="71">
        <v>5.1000126760038338</v>
      </c>
      <c r="T38" s="61">
        <v>3.3285797017055834</v>
      </c>
      <c r="U38" s="25">
        <v>0.88831445987618718</v>
      </c>
      <c r="V38" s="218" t="s">
        <v>237</v>
      </c>
      <c r="W38" s="220" t="s">
        <v>216</v>
      </c>
      <c r="X38" s="16">
        <v>0</v>
      </c>
      <c r="Y38" s="17">
        <v>0.1</v>
      </c>
      <c r="Z38" s="18">
        <v>0</v>
      </c>
      <c r="AA38" s="43">
        <v>0</v>
      </c>
      <c r="AB38" s="319" t="s">
        <v>246</v>
      </c>
    </row>
    <row r="39" spans="1:29" s="20" customFormat="1" ht="14.4" customHeight="1" x14ac:dyDescent="0.3">
      <c r="A39" s="429">
        <v>44233</v>
      </c>
      <c r="B39" s="40">
        <v>-0.1</v>
      </c>
      <c r="C39" s="14">
        <v>1.8</v>
      </c>
      <c r="D39" s="14">
        <v>-1.3</v>
      </c>
      <c r="E39" s="14">
        <v>2.7</v>
      </c>
      <c r="F39" s="14">
        <v>-2.2999999999999998</v>
      </c>
      <c r="G39" s="76">
        <f t="shared" si="2"/>
        <v>5</v>
      </c>
      <c r="H39" s="76">
        <f t="shared" si="3"/>
        <v>-0.22500000000000003</v>
      </c>
      <c r="I39" s="78">
        <v>7.7708333333335891E-2</v>
      </c>
      <c r="J39" s="14">
        <v>-0.7</v>
      </c>
      <c r="K39" s="14">
        <v>-6.8</v>
      </c>
      <c r="L39" s="78">
        <v>-2.8452083333333347</v>
      </c>
      <c r="M39" s="84">
        <v>91.9</v>
      </c>
      <c r="N39" s="24">
        <v>67.099999999999994</v>
      </c>
      <c r="O39" s="80">
        <v>80.931944444444298</v>
      </c>
      <c r="P39" s="117">
        <v>1017.62303739478</v>
      </c>
      <c r="Q39" s="21">
        <v>1015.74821769878</v>
      </c>
      <c r="R39" s="66">
        <v>1016.4511676299185</v>
      </c>
      <c r="S39" s="71">
        <v>7.1000176469857221</v>
      </c>
      <c r="T39" s="61">
        <v>4.1714389394765279</v>
      </c>
      <c r="U39" s="25">
        <v>1.9531422552989786</v>
      </c>
      <c r="V39" s="218" t="s">
        <v>240</v>
      </c>
      <c r="W39" s="220" t="s">
        <v>215</v>
      </c>
      <c r="X39" s="16">
        <v>1.2</v>
      </c>
      <c r="Y39" s="17">
        <v>1.2</v>
      </c>
      <c r="Z39" s="18">
        <v>0</v>
      </c>
      <c r="AA39" s="43">
        <v>0</v>
      </c>
      <c r="AB39" s="319" t="s">
        <v>226</v>
      </c>
    </row>
    <row r="40" spans="1:29" s="20" customFormat="1" x14ac:dyDescent="0.3">
      <c r="A40" s="429">
        <v>44234</v>
      </c>
      <c r="B40" s="40">
        <v>-3.7</v>
      </c>
      <c r="C40" s="14">
        <v>-2.6</v>
      </c>
      <c r="D40" s="14">
        <v>-1.3</v>
      </c>
      <c r="E40" s="14">
        <v>-1</v>
      </c>
      <c r="F40" s="14">
        <v>-4</v>
      </c>
      <c r="G40" s="76">
        <f t="shared" si="2"/>
        <v>3</v>
      </c>
      <c r="H40" s="76">
        <f t="shared" si="3"/>
        <v>-2.2250000000000001</v>
      </c>
      <c r="I40" s="78">
        <v>-2.6571527777777919</v>
      </c>
      <c r="J40" s="14">
        <v>-2</v>
      </c>
      <c r="K40" s="14">
        <v>-5.9</v>
      </c>
      <c r="L40" s="78">
        <v>-4.1531249999999869</v>
      </c>
      <c r="M40" s="84">
        <v>93.1</v>
      </c>
      <c r="N40" s="24">
        <v>78.7</v>
      </c>
      <c r="O40" s="80">
        <v>89.423888888888868</v>
      </c>
      <c r="P40" s="117">
        <v>1015.8687954623</v>
      </c>
      <c r="Q40" s="21">
        <v>1001.71195232863</v>
      </c>
      <c r="R40" s="66">
        <v>1009.2675873076639</v>
      </c>
      <c r="S40" s="71">
        <v>5.1000126760038338</v>
      </c>
      <c r="T40" s="61">
        <v>3.392865575772861</v>
      </c>
      <c r="U40" s="25">
        <v>1.8737320213175095</v>
      </c>
      <c r="V40" s="218" t="s">
        <v>238</v>
      </c>
      <c r="W40" s="220" t="s">
        <v>213</v>
      </c>
      <c r="X40" s="16">
        <v>2.4</v>
      </c>
      <c r="Y40" s="17">
        <v>11</v>
      </c>
      <c r="Z40" s="18">
        <v>0.7</v>
      </c>
      <c r="AA40" s="43">
        <v>0.7</v>
      </c>
      <c r="AB40" s="319" t="s">
        <v>247</v>
      </c>
    </row>
    <row r="41" spans="1:29" s="20" customFormat="1" ht="28.8" x14ac:dyDescent="0.3">
      <c r="A41" s="429">
        <v>44235</v>
      </c>
      <c r="B41" s="40">
        <v>-1.1000000000000001</v>
      </c>
      <c r="C41" s="14">
        <v>0.6</v>
      </c>
      <c r="D41" s="14">
        <v>-1.9</v>
      </c>
      <c r="E41" s="14">
        <v>0.7</v>
      </c>
      <c r="F41" s="14">
        <v>-4.3</v>
      </c>
      <c r="G41" s="76">
        <f t="shared" si="2"/>
        <v>5</v>
      </c>
      <c r="H41" s="76">
        <f t="shared" si="3"/>
        <v>-1.075</v>
      </c>
      <c r="I41" s="78">
        <v>-0.85937499999999734</v>
      </c>
      <c r="J41" s="14">
        <v>0</v>
      </c>
      <c r="K41" s="14">
        <v>-5.4</v>
      </c>
      <c r="L41" s="78">
        <v>-1.8120833333333359</v>
      </c>
      <c r="M41" s="84">
        <v>95.2</v>
      </c>
      <c r="N41" s="24">
        <v>89.7</v>
      </c>
      <c r="O41" s="80">
        <v>93.229305555555669</v>
      </c>
      <c r="P41" s="117">
        <v>1001.74697441817</v>
      </c>
      <c r="Q41" s="21">
        <v>993.75634244488197</v>
      </c>
      <c r="R41" s="66">
        <v>996.77130358391514</v>
      </c>
      <c r="S41" s="71"/>
      <c r="T41" s="61"/>
      <c r="U41" s="25"/>
      <c r="V41" s="218" t="s">
        <v>235</v>
      </c>
      <c r="W41" s="220" t="s">
        <v>215</v>
      </c>
      <c r="X41" s="16">
        <v>2.4</v>
      </c>
      <c r="Y41" s="17">
        <v>9.5</v>
      </c>
      <c r="Z41" s="18">
        <v>0.5</v>
      </c>
      <c r="AA41" s="43">
        <v>0.5</v>
      </c>
      <c r="AB41" s="319" t="s">
        <v>248</v>
      </c>
    </row>
    <row r="42" spans="1:29" s="20" customFormat="1" x14ac:dyDescent="0.3">
      <c r="A42" s="429">
        <v>44236</v>
      </c>
      <c r="B42" s="40">
        <v>-5</v>
      </c>
      <c r="C42" s="14">
        <v>2</v>
      </c>
      <c r="D42" s="14">
        <v>0.1</v>
      </c>
      <c r="E42" s="14">
        <v>2.2999999999999998</v>
      </c>
      <c r="F42" s="14">
        <v>-5.4</v>
      </c>
      <c r="G42" s="76">
        <f t="shared" si="2"/>
        <v>7.7</v>
      </c>
      <c r="H42" s="76">
        <f t="shared" si="3"/>
        <v>-0.7</v>
      </c>
      <c r="I42" s="78">
        <v>-1.5920833333333362</v>
      </c>
      <c r="J42" s="14">
        <v>0.3</v>
      </c>
      <c r="K42" s="14">
        <v>-6.5</v>
      </c>
      <c r="L42" s="78">
        <v>-2.8070833333333183</v>
      </c>
      <c r="M42" s="84">
        <v>94.9</v>
      </c>
      <c r="N42" s="24">
        <v>82.6</v>
      </c>
      <c r="O42" s="80">
        <v>91.43645833333359</v>
      </c>
      <c r="P42" s="117">
        <v>1005.26965275483</v>
      </c>
      <c r="Q42" s="21">
        <v>1000.1481534147</v>
      </c>
      <c r="R42" s="66">
        <v>1003.13821116933</v>
      </c>
      <c r="S42" s="71">
        <v>6.8000169013384442</v>
      </c>
      <c r="T42" s="61">
        <v>4.2214390637510695</v>
      </c>
      <c r="U42" s="25"/>
      <c r="V42" s="218" t="s">
        <v>232</v>
      </c>
      <c r="W42" s="220" t="s">
        <v>216</v>
      </c>
      <c r="X42" s="16">
        <v>1.2</v>
      </c>
      <c r="Y42" s="17">
        <v>6.1</v>
      </c>
      <c r="Z42" s="18">
        <v>7.5</v>
      </c>
      <c r="AA42" s="43">
        <v>7.5</v>
      </c>
      <c r="AB42" s="319" t="s">
        <v>249</v>
      </c>
    </row>
    <row r="43" spans="1:29" s="20" customFormat="1" x14ac:dyDescent="0.3">
      <c r="A43" s="429">
        <v>44237</v>
      </c>
      <c r="B43" s="40">
        <v>-7.8</v>
      </c>
      <c r="C43" s="14">
        <v>0.1</v>
      </c>
      <c r="D43" s="14">
        <v>-2</v>
      </c>
      <c r="E43" s="14">
        <v>1.6</v>
      </c>
      <c r="F43" s="14">
        <v>-8.1</v>
      </c>
      <c r="G43" s="76">
        <f t="shared" si="2"/>
        <v>9.6999999999999993</v>
      </c>
      <c r="H43" s="76">
        <f t="shared" si="3"/>
        <v>-2.9249999999999998</v>
      </c>
      <c r="I43" s="78">
        <v>-2.6995833333333175</v>
      </c>
      <c r="J43" s="14">
        <v>-1.9</v>
      </c>
      <c r="K43" s="14">
        <v>-9.1</v>
      </c>
      <c r="L43" s="78">
        <v>-4.1692361111111076</v>
      </c>
      <c r="M43" s="84">
        <v>94.8</v>
      </c>
      <c r="N43" s="24">
        <v>76.599999999999994</v>
      </c>
      <c r="O43" s="80">
        <v>89.739930555555674</v>
      </c>
      <c r="P43" s="117">
        <v>1007.71398168947</v>
      </c>
      <c r="Q43" s="21">
        <v>1005.11760933568</v>
      </c>
      <c r="R43" s="66">
        <v>1006.417978274248</v>
      </c>
      <c r="S43" s="71"/>
      <c r="T43" s="61"/>
      <c r="U43" s="25"/>
      <c r="V43" s="218" t="s">
        <v>303</v>
      </c>
      <c r="W43" s="220" t="s">
        <v>216</v>
      </c>
      <c r="X43" s="16">
        <v>2.4</v>
      </c>
      <c r="Y43" s="17">
        <v>13</v>
      </c>
      <c r="Z43" s="18">
        <v>2.5</v>
      </c>
      <c r="AA43" s="43">
        <v>9.5</v>
      </c>
      <c r="AB43" s="319" t="s">
        <v>222</v>
      </c>
    </row>
    <row r="44" spans="1:29" s="20" customFormat="1" x14ac:dyDescent="0.3">
      <c r="A44" s="429">
        <v>44238</v>
      </c>
      <c r="B44" s="40">
        <v>-6</v>
      </c>
      <c r="C44" s="14">
        <v>-6.8</v>
      </c>
      <c r="D44" s="14">
        <v>-10.4</v>
      </c>
      <c r="E44" s="14">
        <v>-2.7</v>
      </c>
      <c r="F44" s="14">
        <v>-12.1</v>
      </c>
      <c r="G44" s="76">
        <f t="shared" si="2"/>
        <v>9.3999999999999986</v>
      </c>
      <c r="H44" s="76">
        <f t="shared" si="3"/>
        <v>-8.4</v>
      </c>
      <c r="I44" s="78">
        <v>-6.829861111111085</v>
      </c>
      <c r="J44" s="14">
        <v>-3.7</v>
      </c>
      <c r="K44" s="14">
        <v>-14.5</v>
      </c>
      <c r="L44" s="78">
        <v>-8.9556944444444078</v>
      </c>
      <c r="M44" s="84">
        <v>92.6</v>
      </c>
      <c r="N44" s="24">
        <v>75.400000000000006</v>
      </c>
      <c r="O44" s="80">
        <v>84.817708333333314</v>
      </c>
      <c r="P44" s="117">
        <v>1024.1494465135199</v>
      </c>
      <c r="Q44" s="21">
        <v>1007.7224533174</v>
      </c>
      <c r="R44" s="66">
        <v>1015.2804155706361</v>
      </c>
      <c r="S44" s="71">
        <v>6.5000161556911662</v>
      </c>
      <c r="T44" s="61">
        <v>3.1562578448307921</v>
      </c>
      <c r="U44" s="25"/>
      <c r="V44" s="218" t="s">
        <v>240</v>
      </c>
      <c r="W44" s="220" t="s">
        <v>216</v>
      </c>
      <c r="X44" s="16">
        <v>1.2</v>
      </c>
      <c r="Y44" s="17">
        <v>1.2</v>
      </c>
      <c r="Z44" s="18">
        <v>19</v>
      </c>
      <c r="AA44" s="43">
        <v>24</v>
      </c>
      <c r="AB44" s="319" t="s">
        <v>250</v>
      </c>
    </row>
    <row r="45" spans="1:29" s="20" customFormat="1" ht="28.8" x14ac:dyDescent="0.3">
      <c r="A45" s="429">
        <v>44239</v>
      </c>
      <c r="B45" s="40">
        <v>-12.7</v>
      </c>
      <c r="C45" s="14">
        <v>-5</v>
      </c>
      <c r="D45" s="14">
        <v>-13.6</v>
      </c>
      <c r="E45" s="14">
        <v>-2</v>
      </c>
      <c r="F45" s="14">
        <v>-14.3</v>
      </c>
      <c r="G45" s="76">
        <f t="shared" si="2"/>
        <v>12.3</v>
      </c>
      <c r="H45" s="76">
        <f t="shared" si="3"/>
        <v>-11.225</v>
      </c>
      <c r="I45" s="78">
        <v>-10.266319444444449</v>
      </c>
      <c r="J45" s="14">
        <v>-9.5</v>
      </c>
      <c r="K45" s="14">
        <v>-16.600000000000001</v>
      </c>
      <c r="L45" s="78">
        <v>-14.108402777777767</v>
      </c>
      <c r="M45" s="84">
        <v>87.3</v>
      </c>
      <c r="N45" s="24">
        <v>51.1</v>
      </c>
      <c r="O45" s="80">
        <v>74.197638888888932</v>
      </c>
      <c r="P45" s="117">
        <v>1030.40560145057</v>
      </c>
      <c r="Q45" s="21">
        <v>1024.1299506784001</v>
      </c>
      <c r="R45" s="66">
        <v>1027.4448174757988</v>
      </c>
      <c r="S45" s="71">
        <v>9.2000228665167221</v>
      </c>
      <c r="T45" s="61">
        <v>5.8071572907438611</v>
      </c>
      <c r="U45" s="25">
        <v>2.5545491733671346</v>
      </c>
      <c r="V45" s="218" t="s">
        <v>238</v>
      </c>
      <c r="W45" s="220" t="s">
        <v>220</v>
      </c>
      <c r="X45" s="16">
        <v>0</v>
      </c>
      <c r="Y45" s="17">
        <v>0</v>
      </c>
      <c r="Z45" s="18">
        <v>1.5</v>
      </c>
      <c r="AA45" s="43">
        <v>24.5</v>
      </c>
      <c r="AB45" s="319" t="s">
        <v>251</v>
      </c>
    </row>
    <row r="46" spans="1:29" s="20" customFormat="1" ht="28.8" x14ac:dyDescent="0.3">
      <c r="A46" s="429">
        <v>44240</v>
      </c>
      <c r="B46" s="40">
        <v>-14.8</v>
      </c>
      <c r="C46" s="14">
        <v>-1.3</v>
      </c>
      <c r="D46" s="14">
        <v>-4.0999999999999996</v>
      </c>
      <c r="E46" s="14">
        <v>0.2</v>
      </c>
      <c r="F46" s="14">
        <v>-15.7</v>
      </c>
      <c r="G46" s="76">
        <f t="shared" si="2"/>
        <v>15.899999999999999</v>
      </c>
      <c r="H46" s="76">
        <f t="shared" si="3"/>
        <v>-6.0750000000000002</v>
      </c>
      <c r="I46" s="78">
        <v>-6.1241666666666665</v>
      </c>
      <c r="J46" s="14">
        <v>-4.9000000000000004</v>
      </c>
      <c r="K46" s="14">
        <v>-17.7</v>
      </c>
      <c r="L46" s="78">
        <v>-9.6595833333333712</v>
      </c>
      <c r="M46" s="84">
        <v>90.7</v>
      </c>
      <c r="N46" s="24">
        <v>54.5</v>
      </c>
      <c r="O46" s="80">
        <v>76.770208333333272</v>
      </c>
      <c r="P46" s="117">
        <v>1032.3285679856101</v>
      </c>
      <c r="Q46" s="21">
        <v>1030.0407605575699</v>
      </c>
      <c r="R46" s="66">
        <v>1031.3652614882831</v>
      </c>
      <c r="S46" s="71">
        <v>8.5000211266730545</v>
      </c>
      <c r="T46" s="61">
        <v>4.5928685583619995</v>
      </c>
      <c r="U46" s="25">
        <v>1.3154856604925893</v>
      </c>
      <c r="V46" s="218" t="s">
        <v>238</v>
      </c>
      <c r="W46" s="221" t="s">
        <v>216</v>
      </c>
      <c r="X46" s="26">
        <v>1.2</v>
      </c>
      <c r="Y46" s="27">
        <v>0.4</v>
      </c>
      <c r="Z46" s="28">
        <v>0</v>
      </c>
      <c r="AA46" s="29">
        <v>23.5</v>
      </c>
      <c r="AB46" s="320" t="s">
        <v>252</v>
      </c>
    </row>
    <row r="47" spans="1:29" s="20" customFormat="1" x14ac:dyDescent="0.3">
      <c r="A47" s="429">
        <v>44241</v>
      </c>
      <c r="B47" s="40">
        <v>-3.9</v>
      </c>
      <c r="C47" s="14">
        <v>0.7</v>
      </c>
      <c r="D47" s="14">
        <v>-6.5</v>
      </c>
      <c r="E47" s="14">
        <v>3.2</v>
      </c>
      <c r="F47" s="14">
        <v>-7</v>
      </c>
      <c r="G47" s="76">
        <f t="shared" si="2"/>
        <v>10.199999999999999</v>
      </c>
      <c r="H47" s="76">
        <f t="shared" si="3"/>
        <v>-4.05</v>
      </c>
      <c r="I47" s="78">
        <v>-2.4608602150537666</v>
      </c>
      <c r="J47" s="14">
        <v>-3.8</v>
      </c>
      <c r="K47" s="14">
        <v>-9.5</v>
      </c>
      <c r="L47" s="78">
        <v>-6.5605734767025092</v>
      </c>
      <c r="M47" s="84">
        <v>84.4</v>
      </c>
      <c r="N47" s="24">
        <v>55.7</v>
      </c>
      <c r="O47" s="80">
        <v>73.851326164874635</v>
      </c>
      <c r="P47" s="117">
        <v>1035.83791011729</v>
      </c>
      <c r="Q47" s="21">
        <v>1032.3519887361699</v>
      </c>
      <c r="R47" s="66">
        <v>1034.1145028395149</v>
      </c>
      <c r="S47" s="71">
        <v>10.199999999999999</v>
      </c>
      <c r="T47" s="61">
        <v>5.1000126760038338</v>
      </c>
      <c r="U47" s="25">
        <v>2.3183473057308737</v>
      </c>
      <c r="V47" s="218" t="s">
        <v>240</v>
      </c>
      <c r="W47" s="221"/>
      <c r="X47" s="26">
        <v>0</v>
      </c>
      <c r="Y47" s="27">
        <v>0</v>
      </c>
      <c r="Z47" s="28">
        <v>0.5</v>
      </c>
      <c r="AA47" s="29">
        <v>22.5</v>
      </c>
      <c r="AB47" s="320" t="s">
        <v>253</v>
      </c>
      <c r="AC47" s="419"/>
    </row>
    <row r="48" spans="1:29" s="20" customFormat="1" x14ac:dyDescent="0.3">
      <c r="A48" s="429">
        <v>44242</v>
      </c>
      <c r="B48" s="40">
        <v>-6.6</v>
      </c>
      <c r="C48" s="14">
        <v>1.3</v>
      </c>
      <c r="D48" s="14">
        <v>-3.6</v>
      </c>
      <c r="E48" s="14">
        <v>1.7</v>
      </c>
      <c r="F48" s="14">
        <v>-8.5</v>
      </c>
      <c r="G48" s="76">
        <f t="shared" si="2"/>
        <v>10.199999999999999</v>
      </c>
      <c r="H48" s="76">
        <f t="shared" si="3"/>
        <v>-3.125</v>
      </c>
      <c r="I48" s="78">
        <v>-2.8105555555555659</v>
      </c>
      <c r="J48" s="14">
        <v>-4.4000000000000004</v>
      </c>
      <c r="K48" s="14">
        <v>-10.3</v>
      </c>
      <c r="L48" s="78">
        <v>-6.9885416666666575</v>
      </c>
      <c r="M48" s="84">
        <v>87.3</v>
      </c>
      <c r="N48" s="24">
        <v>57.7</v>
      </c>
      <c r="O48" s="80">
        <v>73.335902777777861</v>
      </c>
      <c r="P48" s="117">
        <v>1035.6665988372899</v>
      </c>
      <c r="Q48" s="21">
        <v>1032.62135015489</v>
      </c>
      <c r="R48" s="244">
        <v>1034.1576398112154</v>
      </c>
      <c r="S48" s="71">
        <v>7.5000186411821108</v>
      </c>
      <c r="T48" s="61">
        <v>4.5571541838801801</v>
      </c>
      <c r="U48" s="25">
        <v>1.5324008821717514</v>
      </c>
      <c r="V48" s="218" t="s">
        <v>240</v>
      </c>
      <c r="W48" s="221"/>
      <c r="X48" s="26">
        <v>0</v>
      </c>
      <c r="Y48" s="27">
        <v>0</v>
      </c>
      <c r="Z48" s="28">
        <v>0</v>
      </c>
      <c r="AA48" s="29">
        <v>19</v>
      </c>
      <c r="AB48" s="320" t="s">
        <v>254</v>
      </c>
    </row>
    <row r="49" spans="1:28" s="20" customFormat="1" x14ac:dyDescent="0.3">
      <c r="A49" s="429">
        <v>44243</v>
      </c>
      <c r="B49" s="40">
        <v>-13.4</v>
      </c>
      <c r="C49" s="14">
        <v>-0.6</v>
      </c>
      <c r="D49" s="14">
        <v>-2.4</v>
      </c>
      <c r="E49" s="14">
        <v>1.5</v>
      </c>
      <c r="F49" s="14">
        <v>-13.5</v>
      </c>
      <c r="G49" s="76">
        <f t="shared" si="2"/>
        <v>15</v>
      </c>
      <c r="H49" s="76">
        <f t="shared" si="3"/>
        <v>-4.7</v>
      </c>
      <c r="I49" s="78">
        <v>-5.3289583333333086</v>
      </c>
      <c r="J49" s="14">
        <v>-4.2</v>
      </c>
      <c r="K49" s="14">
        <v>-15.2</v>
      </c>
      <c r="L49" s="78">
        <v>-8.1245138888888793</v>
      </c>
      <c r="M49" s="84">
        <v>89.4</v>
      </c>
      <c r="N49" s="24">
        <v>61.4</v>
      </c>
      <c r="O49" s="80">
        <v>81.201805555555595</v>
      </c>
      <c r="P49" s="117">
        <v>1032.66065371584</v>
      </c>
      <c r="Q49" s="21">
        <v>1021.20042996987</v>
      </c>
      <c r="R49" s="244">
        <v>1026.9972697800051</v>
      </c>
      <c r="S49" s="71">
        <v>8.5000211266730545</v>
      </c>
      <c r="T49" s="61">
        <v>5.3285846726874722</v>
      </c>
      <c r="U49" s="25">
        <v>1.9145756911884031</v>
      </c>
      <c r="V49" s="218" t="s">
        <v>232</v>
      </c>
      <c r="W49" s="221"/>
      <c r="X49" s="26">
        <v>0</v>
      </c>
      <c r="Y49" s="27">
        <v>0</v>
      </c>
      <c r="Z49" s="28">
        <v>0</v>
      </c>
      <c r="AA49" s="29">
        <v>18.5</v>
      </c>
      <c r="AB49" s="320" t="s">
        <v>255</v>
      </c>
    </row>
    <row r="50" spans="1:28" s="20" customFormat="1" x14ac:dyDescent="0.3">
      <c r="A50" s="429">
        <v>44244</v>
      </c>
      <c r="B50" s="40">
        <v>-1.9</v>
      </c>
      <c r="C50" s="14">
        <v>-0.4</v>
      </c>
      <c r="D50" s="14">
        <v>-2.4</v>
      </c>
      <c r="E50" s="14">
        <v>0.5</v>
      </c>
      <c r="F50" s="14">
        <v>-2.6</v>
      </c>
      <c r="G50" s="76">
        <f t="shared" si="2"/>
        <v>3.1</v>
      </c>
      <c r="H50" s="76">
        <f t="shared" si="3"/>
        <v>-1.7749999999999999</v>
      </c>
      <c r="I50" s="78">
        <v>-1.5618055555555603</v>
      </c>
      <c r="J50" s="14">
        <v>-1.9</v>
      </c>
      <c r="K50" s="14">
        <v>-4.8</v>
      </c>
      <c r="L50" s="78">
        <v>-3.7205555555555798</v>
      </c>
      <c r="M50" s="84">
        <v>92.6</v>
      </c>
      <c r="N50" s="24">
        <v>75.3</v>
      </c>
      <c r="O50" s="80">
        <v>85.289027777777733</v>
      </c>
      <c r="P50" s="21">
        <v>1021.1711566309</v>
      </c>
      <c r="Q50" s="21">
        <v>1016.41843855735</v>
      </c>
      <c r="R50" s="244">
        <v>1017.870097429279</v>
      </c>
      <c r="S50" s="71">
        <v>7.8000193868293888</v>
      </c>
      <c r="T50" s="61">
        <v>5.3285846726874713</v>
      </c>
      <c r="U50" s="25">
        <v>2.0936477301845695</v>
      </c>
      <c r="V50" s="218" t="s">
        <v>232</v>
      </c>
      <c r="W50" s="221" t="s">
        <v>256</v>
      </c>
      <c r="X50" s="26">
        <v>2.4</v>
      </c>
      <c r="Y50" s="27">
        <v>13</v>
      </c>
      <c r="Z50" s="28">
        <v>3</v>
      </c>
      <c r="AA50" s="29">
        <v>21</v>
      </c>
      <c r="AB50" s="320" t="s">
        <v>222</v>
      </c>
    </row>
    <row r="51" spans="1:28" s="20" customFormat="1" x14ac:dyDescent="0.3">
      <c r="A51" s="429">
        <v>44245</v>
      </c>
      <c r="B51" s="40">
        <v>-2.2000000000000002</v>
      </c>
      <c r="C51" s="14">
        <v>4.0999999999999996</v>
      </c>
      <c r="D51" s="14">
        <v>-1.4</v>
      </c>
      <c r="E51" s="14">
        <v>5.2</v>
      </c>
      <c r="F51" s="14">
        <v>-2.6</v>
      </c>
      <c r="G51" s="76">
        <f t="shared" si="2"/>
        <v>7.8000000000000007</v>
      </c>
      <c r="H51" s="76">
        <f t="shared" si="3"/>
        <v>-0.22500000000000009</v>
      </c>
      <c r="I51" s="78">
        <v>6.6319444444449496E-2</v>
      </c>
      <c r="J51" s="14">
        <v>1.3</v>
      </c>
      <c r="K51" s="14">
        <v>-3.6</v>
      </c>
      <c r="L51" s="78">
        <v>-1.6156250000000012</v>
      </c>
      <c r="M51" s="84">
        <v>94.6</v>
      </c>
      <c r="N51" s="24">
        <v>74.5</v>
      </c>
      <c r="O51" s="80">
        <v>88.72909722222208</v>
      </c>
      <c r="P51" s="117">
        <v>1024.5870657616399</v>
      </c>
      <c r="Q51" s="21">
        <v>1017.63451523171</v>
      </c>
      <c r="R51" s="244">
        <v>1021.4038066359567</v>
      </c>
      <c r="S51" s="71">
        <v>2.4000059651782721</v>
      </c>
      <c r="T51" s="61">
        <v>1.3071461060345944</v>
      </c>
      <c r="U51" s="25">
        <v>0.2363349128036514</v>
      </c>
      <c r="V51" s="218" t="s">
        <v>235</v>
      </c>
      <c r="W51" s="221" t="s">
        <v>257</v>
      </c>
      <c r="X51" s="26">
        <v>0</v>
      </c>
      <c r="Y51" s="27">
        <v>0</v>
      </c>
      <c r="Z51" s="28">
        <v>9</v>
      </c>
      <c r="AA51" s="29">
        <v>26</v>
      </c>
      <c r="AB51" s="320" t="s">
        <v>258</v>
      </c>
    </row>
    <row r="52" spans="1:28" s="20" customFormat="1" ht="28.8" x14ac:dyDescent="0.3">
      <c r="A52" s="429">
        <v>44246</v>
      </c>
      <c r="B52" s="40">
        <v>-1.1000000000000001</v>
      </c>
      <c r="C52" s="14">
        <v>2.6</v>
      </c>
      <c r="D52" s="14">
        <v>-0.9</v>
      </c>
      <c r="E52" s="14">
        <v>3.6</v>
      </c>
      <c r="F52" s="14">
        <v>-1.5</v>
      </c>
      <c r="G52" s="76">
        <f t="shared" si="2"/>
        <v>5.0999999999999996</v>
      </c>
      <c r="H52" s="76">
        <f t="shared" si="3"/>
        <v>-7.5000000000000011E-2</v>
      </c>
      <c r="I52" s="78">
        <v>-9.1805555555555807E-2</v>
      </c>
      <c r="J52" s="14">
        <v>-0.9</v>
      </c>
      <c r="K52" s="14">
        <v>-3.4</v>
      </c>
      <c r="L52" s="78">
        <v>-2.0049305555555477</v>
      </c>
      <c r="M52" s="84">
        <v>95.2</v>
      </c>
      <c r="N52" s="24">
        <v>70.599999999999994</v>
      </c>
      <c r="O52" s="80">
        <v>87.249791666666724</v>
      </c>
      <c r="P52" s="117">
        <v>1024.80924579721</v>
      </c>
      <c r="Q52" s="21">
        <v>1022.75980394872</v>
      </c>
      <c r="R52" s="66">
        <v>1023.9791791959136</v>
      </c>
      <c r="S52" s="71">
        <v>9.9000246063603612</v>
      </c>
      <c r="T52" s="61">
        <v>6.4928732807947913</v>
      </c>
      <c r="U52" s="25">
        <v>1.521605964468133</v>
      </c>
      <c r="V52" s="218" t="s">
        <v>242</v>
      </c>
      <c r="W52" s="221" t="s">
        <v>256</v>
      </c>
      <c r="X52" s="26">
        <v>1.2</v>
      </c>
      <c r="Y52" s="27">
        <v>7</v>
      </c>
      <c r="Z52" s="28">
        <v>5</v>
      </c>
      <c r="AA52" s="29">
        <v>25.5</v>
      </c>
      <c r="AB52" s="320" t="s">
        <v>259</v>
      </c>
    </row>
    <row r="53" spans="1:28" s="20" customFormat="1" ht="28.8" x14ac:dyDescent="0.3">
      <c r="A53" s="429">
        <v>44247</v>
      </c>
      <c r="B53" s="40">
        <v>-3.2</v>
      </c>
      <c r="C53" s="14">
        <v>5.6</v>
      </c>
      <c r="D53" s="14">
        <v>-3.3</v>
      </c>
      <c r="E53" s="14">
        <v>7.3</v>
      </c>
      <c r="F53" s="14">
        <v>-5.5</v>
      </c>
      <c r="G53" s="76">
        <f t="shared" si="2"/>
        <v>12.8</v>
      </c>
      <c r="H53" s="76">
        <f t="shared" si="3"/>
        <v>-1.05</v>
      </c>
      <c r="I53" s="78">
        <v>0.21583333333333496</v>
      </c>
      <c r="J53" s="14">
        <v>2.4</v>
      </c>
      <c r="K53" s="14">
        <v>-6.6</v>
      </c>
      <c r="L53" s="78">
        <v>-1.8371527777777801</v>
      </c>
      <c r="M53" s="84">
        <v>95.5</v>
      </c>
      <c r="N53" s="24">
        <v>68.7</v>
      </c>
      <c r="O53" s="80">
        <v>86.637777777777629</v>
      </c>
      <c r="P53" s="117">
        <v>1030.40468577044</v>
      </c>
      <c r="Q53" s="21">
        <v>1024.20526540897</v>
      </c>
      <c r="R53" s="66">
        <v>1027.3856929155049</v>
      </c>
      <c r="S53" s="71">
        <v>2.7000067108255554</v>
      </c>
      <c r="T53" s="61">
        <v>1.9928620960855303</v>
      </c>
      <c r="U53" s="25">
        <v>0.50925019099814328</v>
      </c>
      <c r="V53" s="218" t="s">
        <v>243</v>
      </c>
      <c r="W53" s="221"/>
      <c r="X53" s="26">
        <v>0</v>
      </c>
      <c r="Y53" s="27">
        <v>0</v>
      </c>
      <c r="Z53" s="28">
        <v>0.5</v>
      </c>
      <c r="AA53" s="29">
        <v>25</v>
      </c>
      <c r="AB53" s="320" t="s">
        <v>260</v>
      </c>
    </row>
    <row r="54" spans="1:28" s="20" customFormat="1" x14ac:dyDescent="0.3">
      <c r="A54" s="429">
        <v>44248</v>
      </c>
      <c r="B54" s="40">
        <v>-0.7</v>
      </c>
      <c r="C54" s="14">
        <v>3.5</v>
      </c>
      <c r="D54" s="14">
        <v>1.3</v>
      </c>
      <c r="E54" s="14">
        <v>5.0999999999999996</v>
      </c>
      <c r="F54" s="14">
        <v>-4.2</v>
      </c>
      <c r="G54" s="76">
        <f t="shared" si="2"/>
        <v>9.3000000000000007</v>
      </c>
      <c r="H54" s="76">
        <f t="shared" si="3"/>
        <v>1.35</v>
      </c>
      <c r="I54" s="78">
        <v>1.2234722222222236</v>
      </c>
      <c r="J54" s="14">
        <v>1.5</v>
      </c>
      <c r="K54" s="14">
        <v>-5.0999999999999996</v>
      </c>
      <c r="L54" s="78">
        <v>-0.39576388888888958</v>
      </c>
      <c r="M54" s="84">
        <v>96.8</v>
      </c>
      <c r="N54" s="24">
        <v>76.8</v>
      </c>
      <c r="O54" s="80">
        <v>89.166319444444497</v>
      </c>
      <c r="P54" s="117">
        <v>1030.8068321113899</v>
      </c>
      <c r="Q54" s="21">
        <v>1028.9159735532201</v>
      </c>
      <c r="R54" s="66">
        <v>1030.0440367456549</v>
      </c>
      <c r="S54" s="71">
        <v>6.8000169013384442</v>
      </c>
      <c r="T54" s="61">
        <v>4.6285829328438055</v>
      </c>
      <c r="U54" s="25">
        <v>1.5961287191377485</v>
      </c>
      <c r="V54" s="218" t="s">
        <v>231</v>
      </c>
      <c r="W54" s="221"/>
      <c r="X54" s="26">
        <v>0</v>
      </c>
      <c r="Y54" s="27">
        <v>0</v>
      </c>
      <c r="Z54" s="28">
        <v>0</v>
      </c>
      <c r="AA54" s="29">
        <v>17.5</v>
      </c>
      <c r="AB54" s="320" t="s">
        <v>222</v>
      </c>
    </row>
    <row r="55" spans="1:28" s="20" customFormat="1" x14ac:dyDescent="0.3">
      <c r="A55" s="429">
        <v>44249</v>
      </c>
      <c r="B55" s="40">
        <v>-0.7</v>
      </c>
      <c r="C55" s="14">
        <v>7.9</v>
      </c>
      <c r="D55" s="14">
        <v>-1.2</v>
      </c>
      <c r="E55" s="14">
        <v>8.6</v>
      </c>
      <c r="F55" s="14">
        <v>-2.9</v>
      </c>
      <c r="G55" s="76">
        <f t="shared" si="2"/>
        <v>11.5</v>
      </c>
      <c r="H55" s="76">
        <f t="shared" si="3"/>
        <v>1.2000000000000002</v>
      </c>
      <c r="I55" s="78">
        <v>2.4879166666666639</v>
      </c>
      <c r="J55" s="14">
        <v>2.8</v>
      </c>
      <c r="K55" s="14">
        <v>-3.9</v>
      </c>
      <c r="L55" s="78">
        <v>-7.2708333333332847E-2</v>
      </c>
      <c r="M55" s="84">
        <v>95.5</v>
      </c>
      <c r="N55" s="24">
        <v>64</v>
      </c>
      <c r="O55" s="80">
        <v>84.114999999999867</v>
      </c>
      <c r="P55" s="117">
        <v>1031.6293728362</v>
      </c>
      <c r="Q55" s="21">
        <v>1027.8919128344501</v>
      </c>
      <c r="R55" s="66">
        <v>1029.3238815082102</v>
      </c>
      <c r="S55" s="71">
        <v>5.1000126760038338</v>
      </c>
      <c r="T55" s="61">
        <v>3.1428649544001113</v>
      </c>
      <c r="U55" s="25">
        <v>1.1469398546697935</v>
      </c>
      <c r="V55" s="218" t="s">
        <v>242</v>
      </c>
      <c r="W55" s="221"/>
      <c r="X55" s="26">
        <v>0</v>
      </c>
      <c r="Y55" s="27">
        <v>0</v>
      </c>
      <c r="Z55" s="28">
        <v>0</v>
      </c>
      <c r="AA55" s="29">
        <v>15</v>
      </c>
      <c r="AB55" s="320" t="s">
        <v>261</v>
      </c>
    </row>
    <row r="56" spans="1:28" s="20" customFormat="1" x14ac:dyDescent="0.3">
      <c r="A56" s="429">
        <v>44250</v>
      </c>
      <c r="B56" s="40">
        <v>-1.7</v>
      </c>
      <c r="C56" s="14">
        <v>5.9</v>
      </c>
      <c r="D56" s="14">
        <v>-0.3</v>
      </c>
      <c r="E56" s="14">
        <v>7.2</v>
      </c>
      <c r="F56" s="14">
        <v>-2.9</v>
      </c>
      <c r="G56" s="76">
        <f t="shared" si="2"/>
        <v>10.1</v>
      </c>
      <c r="H56" s="76">
        <f t="shared" si="3"/>
        <v>0.9</v>
      </c>
      <c r="I56" s="78">
        <v>0.77583333333333493</v>
      </c>
      <c r="J56" s="14">
        <v>3.2</v>
      </c>
      <c r="K56" s="14">
        <v>-3.9</v>
      </c>
      <c r="L56" s="78">
        <v>-0.75243055555555793</v>
      </c>
      <c r="M56" s="84">
        <v>95.7</v>
      </c>
      <c r="N56" s="24">
        <v>74.599999999999994</v>
      </c>
      <c r="O56" s="80">
        <v>89.731388888889043</v>
      </c>
      <c r="P56" s="117">
        <v>1037.14667587903</v>
      </c>
      <c r="Q56" s="21">
        <v>1031.4591279490801</v>
      </c>
      <c r="R56" s="66">
        <v>1034.3590325122889</v>
      </c>
      <c r="S56" s="71">
        <v>2.7000067108255554</v>
      </c>
      <c r="T56" s="61">
        <v>1.7071471002309737</v>
      </c>
      <c r="U56" s="25">
        <v>0.3462744221677384</v>
      </c>
      <c r="V56" s="218" t="s">
        <v>243</v>
      </c>
      <c r="W56" s="221"/>
      <c r="X56" s="26">
        <v>0</v>
      </c>
      <c r="Y56" s="27">
        <v>0</v>
      </c>
      <c r="Z56" s="28">
        <v>0</v>
      </c>
      <c r="AA56" s="29">
        <v>13</v>
      </c>
      <c r="AB56" s="320" t="s">
        <v>263</v>
      </c>
    </row>
    <row r="57" spans="1:28" s="20" customFormat="1" x14ac:dyDescent="0.3">
      <c r="A57" s="429">
        <v>44251</v>
      </c>
      <c r="B57" s="40">
        <v>-3.3</v>
      </c>
      <c r="C57" s="14">
        <v>10.8</v>
      </c>
      <c r="D57" s="14">
        <v>0.1</v>
      </c>
      <c r="E57" s="14">
        <v>11.5</v>
      </c>
      <c r="F57" s="14">
        <v>-3.3</v>
      </c>
      <c r="G57" s="76">
        <f t="shared" si="2"/>
        <v>14.8</v>
      </c>
      <c r="H57" s="76">
        <f t="shared" si="3"/>
        <v>1.9250000000000003</v>
      </c>
      <c r="I57" s="78">
        <v>2.0495833333333344</v>
      </c>
      <c r="J57" s="14">
        <v>5.6</v>
      </c>
      <c r="K57" s="14">
        <v>-4.2</v>
      </c>
      <c r="L57" s="78">
        <v>-0.4600694444444472</v>
      </c>
      <c r="M57" s="84">
        <v>95.4</v>
      </c>
      <c r="N57" s="24">
        <v>61.2</v>
      </c>
      <c r="O57" s="80">
        <v>84.546805555555295</v>
      </c>
      <c r="P57" s="117">
        <v>1038.1897133381001</v>
      </c>
      <c r="Q57" s="21">
        <v>1034.6769607999599</v>
      </c>
      <c r="R57" s="66">
        <v>1036.5675906636779</v>
      </c>
      <c r="S57" s="71">
        <v>4.1000101905128883</v>
      </c>
      <c r="T57" s="61">
        <v>2.3857202153855441</v>
      </c>
      <c r="U57" s="25">
        <v>0.48871029206293948</v>
      </c>
      <c r="V57" s="218" t="s">
        <v>239</v>
      </c>
      <c r="W57" s="221" t="s">
        <v>262</v>
      </c>
      <c r="X57" s="26">
        <v>0</v>
      </c>
      <c r="Y57" s="27">
        <v>0.1</v>
      </c>
      <c r="Z57" s="28">
        <v>0</v>
      </c>
      <c r="AA57" s="29">
        <v>12</v>
      </c>
      <c r="AB57" s="320" t="s">
        <v>263</v>
      </c>
    </row>
    <row r="58" spans="1:28" s="20" customFormat="1" x14ac:dyDescent="0.3">
      <c r="A58" s="429">
        <v>44252</v>
      </c>
      <c r="B58" s="40">
        <v>-2.4</v>
      </c>
      <c r="C58" s="14">
        <v>9.6</v>
      </c>
      <c r="D58" s="14">
        <v>0.3</v>
      </c>
      <c r="E58" s="14">
        <v>10.9</v>
      </c>
      <c r="F58" s="14">
        <v>-2.7</v>
      </c>
      <c r="G58" s="76">
        <f t="shared" si="2"/>
        <v>13.600000000000001</v>
      </c>
      <c r="H58" s="76">
        <f t="shared" si="3"/>
        <v>1.9499999999999997</v>
      </c>
      <c r="I58" s="78">
        <v>1.6887499999999935</v>
      </c>
      <c r="J58" s="14">
        <v>6.6</v>
      </c>
      <c r="K58" s="14">
        <v>-3.7</v>
      </c>
      <c r="L58" s="78">
        <v>-0.21375000000000027</v>
      </c>
      <c r="M58" s="84">
        <v>94.4</v>
      </c>
      <c r="N58" s="24">
        <v>68.7</v>
      </c>
      <c r="O58" s="80">
        <v>87.697013888888847</v>
      </c>
      <c r="P58" s="117">
        <v>1036.59973629297</v>
      </c>
      <c r="Q58" s="21">
        <v>1031.4755792383801</v>
      </c>
      <c r="R58" s="66">
        <v>1034.1687210313978</v>
      </c>
      <c r="S58" s="71">
        <v>2.4000059651782721</v>
      </c>
      <c r="T58" s="61">
        <v>1.8500045981582525</v>
      </c>
      <c r="U58" s="25">
        <v>0.53176558216976311</v>
      </c>
      <c r="V58" s="218" t="s">
        <v>243</v>
      </c>
      <c r="W58" s="221"/>
      <c r="X58" s="26">
        <v>0</v>
      </c>
      <c r="Y58" s="27">
        <v>0</v>
      </c>
      <c r="Z58" s="28">
        <v>0</v>
      </c>
      <c r="AA58" s="29">
        <v>9.5</v>
      </c>
      <c r="AB58" s="320" t="s">
        <v>264</v>
      </c>
    </row>
    <row r="59" spans="1:28" s="20" customFormat="1" x14ac:dyDescent="0.3">
      <c r="A59" s="429">
        <v>44253</v>
      </c>
      <c r="B59" s="40">
        <v>0.7</v>
      </c>
      <c r="C59" s="14">
        <v>8.6</v>
      </c>
      <c r="D59" s="14">
        <v>0.5</v>
      </c>
      <c r="E59" s="14">
        <v>9.6</v>
      </c>
      <c r="F59" s="14">
        <v>-0.2</v>
      </c>
      <c r="G59" s="76">
        <f t="shared" si="2"/>
        <v>9.7999999999999989</v>
      </c>
      <c r="H59" s="76">
        <f t="shared" si="3"/>
        <v>2.5749999999999997</v>
      </c>
      <c r="I59" s="78">
        <v>2.9120833333333414</v>
      </c>
      <c r="J59" s="14">
        <v>6.5</v>
      </c>
      <c r="K59" s="14">
        <v>-1.1000000000000001</v>
      </c>
      <c r="L59" s="78">
        <v>1.6059722222222246</v>
      </c>
      <c r="M59" s="84">
        <v>97</v>
      </c>
      <c r="N59" s="24">
        <v>78.599999999999994</v>
      </c>
      <c r="O59" s="80">
        <v>91.309583333333279</v>
      </c>
      <c r="P59" s="117">
        <v>1031.8158043087999</v>
      </c>
      <c r="Q59" s="21">
        <v>1023.59448732794</v>
      </c>
      <c r="R59" s="66">
        <v>1027.3658307198107</v>
      </c>
      <c r="S59" s="71">
        <v>6.8000169013384442</v>
      </c>
      <c r="T59" s="61">
        <v>4.4571539353310836</v>
      </c>
      <c r="U59" s="25">
        <v>0.44982130651606972</v>
      </c>
      <c r="V59" s="218" t="s">
        <v>304</v>
      </c>
      <c r="W59" s="221" t="s">
        <v>265</v>
      </c>
      <c r="X59" s="26">
        <v>0</v>
      </c>
      <c r="Y59" s="27">
        <v>0.1</v>
      </c>
      <c r="Z59" s="28">
        <v>0</v>
      </c>
      <c r="AA59" s="29">
        <v>5</v>
      </c>
      <c r="AB59" s="320" t="s">
        <v>264</v>
      </c>
    </row>
    <row r="60" spans="1:28" s="20" customFormat="1" x14ac:dyDescent="0.3">
      <c r="A60" s="429">
        <v>44254</v>
      </c>
      <c r="B60" s="40">
        <v>4.4000000000000004</v>
      </c>
      <c r="C60" s="14">
        <v>7.1</v>
      </c>
      <c r="D60" s="14">
        <v>4.8</v>
      </c>
      <c r="E60" s="14">
        <v>9.3000000000000007</v>
      </c>
      <c r="F60" s="14">
        <v>3</v>
      </c>
      <c r="G60" s="76">
        <f>E60-F60</f>
        <v>6.3000000000000007</v>
      </c>
      <c r="H60" s="76">
        <f>(B60+C60+2*D60)/4</f>
        <v>5.2750000000000004</v>
      </c>
      <c r="I60" s="78">
        <v>5.1200694444444634</v>
      </c>
      <c r="J60" s="14">
        <v>5</v>
      </c>
      <c r="K60" s="14">
        <v>0.9</v>
      </c>
      <c r="L60" s="78">
        <v>2.328194444444442</v>
      </c>
      <c r="M60" s="84">
        <v>92.1</v>
      </c>
      <c r="N60" s="24">
        <v>70.400000000000006</v>
      </c>
      <c r="O60" s="80">
        <v>82.282777777777781</v>
      </c>
      <c r="P60" s="117">
        <v>1033.0761983834</v>
      </c>
      <c r="Q60" s="21">
        <v>1025.8421920309199</v>
      </c>
      <c r="R60" s="66">
        <v>1028.787731072591</v>
      </c>
      <c r="S60" s="71">
        <v>9.2000228665167221</v>
      </c>
      <c r="T60" s="61">
        <v>5.635728293231125</v>
      </c>
      <c r="U60" s="25">
        <v>2.3491005807172072</v>
      </c>
      <c r="V60" s="218" t="s">
        <v>240</v>
      </c>
      <c r="W60" s="221" t="s">
        <v>213</v>
      </c>
      <c r="X60" s="26">
        <v>2.4</v>
      </c>
      <c r="Y60" s="27">
        <v>0.5</v>
      </c>
      <c r="Z60" s="28">
        <v>0</v>
      </c>
      <c r="AA60" s="29">
        <v>1</v>
      </c>
      <c r="AB60" s="320" t="s">
        <v>266</v>
      </c>
    </row>
    <row r="61" spans="1:28" s="315" customFormat="1" ht="15" thickBot="1" x14ac:dyDescent="0.35">
      <c r="A61" s="430">
        <v>44255</v>
      </c>
      <c r="B61" s="41">
        <v>2.8</v>
      </c>
      <c r="C61" s="22">
        <v>11.8</v>
      </c>
      <c r="D61" s="22">
        <v>0.9</v>
      </c>
      <c r="E61" s="22">
        <v>12.4</v>
      </c>
      <c r="F61" s="22">
        <v>0.3</v>
      </c>
      <c r="G61" s="431">
        <f>E61-F61</f>
        <v>12.1</v>
      </c>
      <c r="H61" s="314">
        <f>(B61+C61+2*D61)/4</f>
        <v>4.1000000000000005</v>
      </c>
      <c r="I61" s="79">
        <v>5.9890277777777703</v>
      </c>
      <c r="J61" s="22">
        <v>4.9000000000000004</v>
      </c>
      <c r="K61" s="22">
        <v>-2</v>
      </c>
      <c r="L61" s="79">
        <v>0.95673611111110968</v>
      </c>
      <c r="M61" s="85">
        <v>86.2</v>
      </c>
      <c r="N61" s="67">
        <v>48</v>
      </c>
      <c r="O61" s="81">
        <v>71.384861111111064</v>
      </c>
      <c r="P61" s="118">
        <v>1033.91257644344</v>
      </c>
      <c r="Q61" s="68">
        <v>1029.3673372261501</v>
      </c>
      <c r="R61" s="69">
        <v>1031.8398080539359</v>
      </c>
      <c r="S61" s="73">
        <v>8.2000203810257499</v>
      </c>
      <c r="T61" s="63">
        <v>4.3107249999556112</v>
      </c>
      <c r="U61" s="42">
        <v>1.6726666077842047</v>
      </c>
      <c r="V61" s="222" t="s">
        <v>238</v>
      </c>
      <c r="W61" s="223"/>
      <c r="X61" s="44">
        <v>0</v>
      </c>
      <c r="Y61" s="45">
        <v>0</v>
      </c>
      <c r="Z61" s="46">
        <v>0</v>
      </c>
      <c r="AA61" s="47">
        <v>0</v>
      </c>
      <c r="AB61" s="321" t="s">
        <v>267</v>
      </c>
    </row>
    <row r="62" spans="1:28" s="417" customFormat="1" x14ac:dyDescent="0.3">
      <c r="A62" s="428">
        <v>44256</v>
      </c>
      <c r="B62" s="400">
        <v>3.5</v>
      </c>
      <c r="C62" s="401">
        <v>5.4</v>
      </c>
      <c r="D62" s="401">
        <v>3.1</v>
      </c>
      <c r="E62" s="401">
        <v>7</v>
      </c>
      <c r="F62" s="401">
        <v>0.7</v>
      </c>
      <c r="G62" s="402">
        <f>E62-F62</f>
        <v>6.3</v>
      </c>
      <c r="H62" s="402">
        <f>(B62+C62+2*D62)/4</f>
        <v>3.7750000000000004</v>
      </c>
      <c r="I62" s="403">
        <v>4.2604093154551679</v>
      </c>
      <c r="J62" s="401">
        <v>2.6</v>
      </c>
      <c r="K62" s="401">
        <v>-0.9</v>
      </c>
      <c r="L62" s="403">
        <v>1.6859562455892803</v>
      </c>
      <c r="M62" s="404">
        <v>89.5</v>
      </c>
      <c r="N62" s="405">
        <v>71.400000000000006</v>
      </c>
      <c r="O62" s="406">
        <v>83.386309103740487</v>
      </c>
      <c r="P62" s="407">
        <v>1035.8821720952701</v>
      </c>
      <c r="Q62" s="408">
        <v>1029.3984765775999</v>
      </c>
      <c r="R62" s="409">
        <v>1033.6747957555201</v>
      </c>
      <c r="S62" s="372">
        <v>9.500023612164</v>
      </c>
      <c r="T62" s="373">
        <v>5.5285851697856669</v>
      </c>
      <c r="U62" s="373">
        <v>1.8556519336231874</v>
      </c>
      <c r="V62" s="374" t="s">
        <v>240</v>
      </c>
      <c r="W62" s="432"/>
      <c r="X62" s="412">
        <v>0</v>
      </c>
      <c r="Y62" s="413">
        <v>0</v>
      </c>
      <c r="Z62" s="414">
        <v>0</v>
      </c>
      <c r="AA62" s="415">
        <v>0</v>
      </c>
      <c r="AB62" s="416" t="s">
        <v>209</v>
      </c>
    </row>
    <row r="63" spans="1:28" s="20" customFormat="1" x14ac:dyDescent="0.3">
      <c r="A63" s="429">
        <v>44257</v>
      </c>
      <c r="B63" s="40">
        <v>-2.9</v>
      </c>
      <c r="C63" s="14">
        <v>12.9</v>
      </c>
      <c r="D63" s="14">
        <v>1.2</v>
      </c>
      <c r="E63" s="14">
        <v>13.8</v>
      </c>
      <c r="F63" s="14">
        <v>-3.5</v>
      </c>
      <c r="G63" s="76">
        <f>E63-F63</f>
        <v>17.3</v>
      </c>
      <c r="H63" s="76">
        <f>(B63+C63+2*D63)/4</f>
        <v>3.1</v>
      </c>
      <c r="I63" s="78">
        <v>3.1986111111110995</v>
      </c>
      <c r="J63" s="14">
        <v>4.0999999999999996</v>
      </c>
      <c r="K63" s="14">
        <v>-4.5999999999999996</v>
      </c>
      <c r="L63" s="78">
        <v>-0.29618055555555778</v>
      </c>
      <c r="M63" s="84">
        <v>94.3</v>
      </c>
      <c r="N63" s="24">
        <v>44</v>
      </c>
      <c r="O63" s="80">
        <v>80.182222222222208</v>
      </c>
      <c r="P63" s="117">
        <v>1036.0531100286501</v>
      </c>
      <c r="Q63" s="21">
        <v>1031.25668635485</v>
      </c>
      <c r="R63" s="66">
        <v>1033.9308654865533</v>
      </c>
      <c r="S63" s="71">
        <v>5.1000126760038338</v>
      </c>
      <c r="T63" s="61">
        <v>3.1000077050219446</v>
      </c>
      <c r="U63" s="25">
        <v>0.82870989704741449</v>
      </c>
      <c r="V63" s="218" t="s">
        <v>232</v>
      </c>
      <c r="W63" s="245"/>
      <c r="X63" s="16">
        <v>0</v>
      </c>
      <c r="Y63" s="17">
        <v>0</v>
      </c>
      <c r="Z63" s="18">
        <v>0</v>
      </c>
      <c r="AA63" s="43">
        <v>0</v>
      </c>
      <c r="AB63" s="319" t="s">
        <v>269</v>
      </c>
    </row>
    <row r="64" spans="1:28" s="20" customFormat="1" x14ac:dyDescent="0.3">
      <c r="A64" s="429">
        <v>44258</v>
      </c>
      <c r="B64" s="40">
        <v>-2.9</v>
      </c>
      <c r="C64" s="14">
        <v>12.9</v>
      </c>
      <c r="D64" s="14">
        <v>2</v>
      </c>
      <c r="E64" s="14">
        <v>13.3</v>
      </c>
      <c r="F64" s="14">
        <v>-3.4</v>
      </c>
      <c r="G64" s="76">
        <f t="shared" ref="G64:G91" si="4">E64-F64</f>
        <v>16.7</v>
      </c>
      <c r="H64" s="76">
        <f t="shared" ref="H64:H91" si="5">(B64+C64+2*D64)/4</f>
        <v>3.5</v>
      </c>
      <c r="I64" s="78">
        <v>3.3880555555555549</v>
      </c>
      <c r="J64" s="14">
        <v>6.7</v>
      </c>
      <c r="K64" s="14">
        <v>-4.5</v>
      </c>
      <c r="L64" s="78">
        <v>0.63756944444444208</v>
      </c>
      <c r="M64" s="84">
        <v>94.4</v>
      </c>
      <c r="N64" s="24">
        <v>60.6</v>
      </c>
      <c r="O64" s="80">
        <v>83.458680555555674</v>
      </c>
      <c r="P64" s="117">
        <v>1033.5902741166101</v>
      </c>
      <c r="Q64" s="21">
        <v>1023.22061725428</v>
      </c>
      <c r="R64" s="66">
        <v>1029.4022830880399</v>
      </c>
      <c r="S64" s="71">
        <v>5.4000134216511109</v>
      </c>
      <c r="T64" s="61">
        <v>3.8285809444510557</v>
      </c>
      <c r="U64" s="25">
        <v>1.1322791866171698</v>
      </c>
      <c r="V64" s="218" t="s">
        <v>231</v>
      </c>
      <c r="W64" s="245" t="s">
        <v>262</v>
      </c>
      <c r="X64" s="16">
        <v>0</v>
      </c>
      <c r="Y64" s="17">
        <v>0.1</v>
      </c>
      <c r="Z64" s="18">
        <v>0</v>
      </c>
      <c r="AA64" s="43">
        <v>0</v>
      </c>
      <c r="AB64" s="319" t="s">
        <v>269</v>
      </c>
    </row>
    <row r="65" spans="1:28" s="20" customFormat="1" x14ac:dyDescent="0.3">
      <c r="A65" s="429">
        <v>44259</v>
      </c>
      <c r="B65" s="40">
        <v>-1.7</v>
      </c>
      <c r="C65" s="14">
        <v>8.9</v>
      </c>
      <c r="D65" s="14">
        <v>5.3</v>
      </c>
      <c r="E65" s="14">
        <v>10.199999999999999</v>
      </c>
      <c r="F65" s="14">
        <v>-2.2000000000000002</v>
      </c>
      <c r="G65" s="76">
        <f t="shared" si="4"/>
        <v>12.399999999999999</v>
      </c>
      <c r="H65" s="76">
        <f t="shared" si="5"/>
        <v>4.45</v>
      </c>
      <c r="I65" s="78">
        <v>3.9943055555555556</v>
      </c>
      <c r="J65" s="14">
        <v>4.7</v>
      </c>
      <c r="K65" s="14">
        <v>-3.1</v>
      </c>
      <c r="L65" s="78">
        <v>1.6867361111111048</v>
      </c>
      <c r="M65" s="84">
        <v>95.4</v>
      </c>
      <c r="N65" s="24">
        <v>65.7</v>
      </c>
      <c r="O65" s="80">
        <v>85.620208333333181</v>
      </c>
      <c r="P65" s="117">
        <v>1023.16388185946</v>
      </c>
      <c r="Q65" s="21">
        <v>1011.99430293963</v>
      </c>
      <c r="R65" s="66">
        <v>1016.9848734567147</v>
      </c>
      <c r="S65" s="72">
        <v>7.1000176469857221</v>
      </c>
      <c r="T65" s="62">
        <v>4.6428686826365411</v>
      </c>
      <c r="U65" s="19">
        <v>0.99097468527470867</v>
      </c>
      <c r="V65" s="218" t="s">
        <v>232</v>
      </c>
      <c r="W65" s="246" t="s">
        <v>215</v>
      </c>
      <c r="X65" s="16">
        <v>2.4</v>
      </c>
      <c r="Y65" s="17">
        <v>4.2</v>
      </c>
      <c r="Z65" s="18">
        <v>0</v>
      </c>
      <c r="AA65" s="43">
        <v>0</v>
      </c>
      <c r="AB65" s="319" t="s">
        <v>270</v>
      </c>
    </row>
    <row r="66" spans="1:28" s="20" customFormat="1" x14ac:dyDescent="0.3">
      <c r="A66" s="429">
        <v>44260</v>
      </c>
      <c r="B66" s="40">
        <v>2.2000000000000002</v>
      </c>
      <c r="C66" s="14">
        <v>3</v>
      </c>
      <c r="D66" s="14">
        <v>0</v>
      </c>
      <c r="E66" s="14">
        <v>4.5999999999999996</v>
      </c>
      <c r="F66" s="14">
        <v>-1.4</v>
      </c>
      <c r="G66" s="76">
        <f t="shared" si="4"/>
        <v>6</v>
      </c>
      <c r="H66" s="76">
        <f t="shared" si="5"/>
        <v>1.3</v>
      </c>
      <c r="I66" s="78">
        <v>1.9512499999999982</v>
      </c>
      <c r="J66" s="14">
        <v>3.8</v>
      </c>
      <c r="K66" s="14">
        <v>-4.7</v>
      </c>
      <c r="L66" s="78">
        <v>0.18694444444444308</v>
      </c>
      <c r="M66" s="84">
        <v>95</v>
      </c>
      <c r="N66" s="24">
        <v>75.8</v>
      </c>
      <c r="O66" s="80">
        <v>88.176944444444374</v>
      </c>
      <c r="P66" s="117">
        <v>1025.9770049408501</v>
      </c>
      <c r="Q66" s="21">
        <v>1011.06205022705</v>
      </c>
      <c r="R66" s="66">
        <v>1016.9333256483701</v>
      </c>
      <c r="S66" s="71">
        <v>8.8000218723203325</v>
      </c>
      <c r="T66" s="61">
        <v>4.5732256523969861</v>
      </c>
      <c r="U66" s="25">
        <v>1.7468251437123012</v>
      </c>
      <c r="V66" s="218" t="s">
        <v>240</v>
      </c>
      <c r="W66" s="246" t="s">
        <v>215</v>
      </c>
      <c r="X66" s="16">
        <v>3.6</v>
      </c>
      <c r="Y66" s="17">
        <v>2.7</v>
      </c>
      <c r="Z66" s="18">
        <v>0</v>
      </c>
      <c r="AA66" s="43">
        <v>0</v>
      </c>
      <c r="AB66" s="319" t="s">
        <v>209</v>
      </c>
    </row>
    <row r="67" spans="1:28" s="20" customFormat="1" x14ac:dyDescent="0.3">
      <c r="A67" s="429">
        <v>44261</v>
      </c>
      <c r="B67" s="40">
        <v>-2.9</v>
      </c>
      <c r="C67" s="14">
        <v>5.4</v>
      </c>
      <c r="D67" s="14">
        <v>-3.5</v>
      </c>
      <c r="E67" s="14">
        <v>7.6</v>
      </c>
      <c r="F67" s="14">
        <v>-5.6</v>
      </c>
      <c r="G67" s="76">
        <f t="shared" si="4"/>
        <v>13.2</v>
      </c>
      <c r="H67" s="76">
        <f t="shared" si="5"/>
        <v>-1.125</v>
      </c>
      <c r="I67" s="78">
        <v>-0.2647916666666657</v>
      </c>
      <c r="J67" s="14">
        <v>0.3</v>
      </c>
      <c r="K67" s="14">
        <v>-7.1</v>
      </c>
      <c r="L67" s="78">
        <v>-4.4457638888888917</v>
      </c>
      <c r="M67" s="84">
        <v>89.9</v>
      </c>
      <c r="N67" s="24">
        <v>45.9</v>
      </c>
      <c r="O67" s="80">
        <v>74.600416666666717</v>
      </c>
      <c r="P67" s="117">
        <v>1031.1427461440601</v>
      </c>
      <c r="Q67" s="21">
        <v>1026.0101674110899</v>
      </c>
      <c r="R67" s="66">
        <v>1029.5955272996109</v>
      </c>
      <c r="S67" s="71">
        <v>7.1000176469857221</v>
      </c>
      <c r="T67" s="61">
        <v>4.685725932014722</v>
      </c>
      <c r="U67" s="25">
        <v>1.6056463519206641</v>
      </c>
      <c r="V67" s="218" t="s">
        <v>240</v>
      </c>
      <c r="W67" s="246" t="s">
        <v>220</v>
      </c>
      <c r="X67" s="16">
        <v>0</v>
      </c>
      <c r="Y67" s="17">
        <v>0</v>
      </c>
      <c r="Z67" s="18">
        <v>0</v>
      </c>
      <c r="AA67" s="43">
        <v>0</v>
      </c>
      <c r="AB67" s="319" t="s">
        <v>271</v>
      </c>
    </row>
    <row r="68" spans="1:28" s="20" customFormat="1" ht="28.8" x14ac:dyDescent="0.3">
      <c r="A68" s="429">
        <v>44262</v>
      </c>
      <c r="B68" s="40">
        <v>-7.1</v>
      </c>
      <c r="C68" s="14">
        <v>6</v>
      </c>
      <c r="D68" s="14">
        <v>-2.2000000000000002</v>
      </c>
      <c r="E68" s="14">
        <v>7.3</v>
      </c>
      <c r="F68" s="14">
        <v>-7.3</v>
      </c>
      <c r="G68" s="76">
        <f t="shared" si="4"/>
        <v>14.6</v>
      </c>
      <c r="H68" s="76">
        <f t="shared" si="5"/>
        <v>-1.375</v>
      </c>
      <c r="I68" s="78">
        <v>-0.89201388888888666</v>
      </c>
      <c r="J68" s="14">
        <v>-1.3</v>
      </c>
      <c r="K68" s="14">
        <v>-8.6</v>
      </c>
      <c r="L68" s="78">
        <v>-5.2192361111111172</v>
      </c>
      <c r="M68" s="84">
        <v>91.8</v>
      </c>
      <c r="N68" s="24">
        <v>46.2</v>
      </c>
      <c r="O68" s="80">
        <v>74.578402777777796</v>
      </c>
      <c r="P68" s="117">
        <v>1030.0073902250101</v>
      </c>
      <c r="Q68" s="21">
        <v>1016.60923094511</v>
      </c>
      <c r="R68" s="66">
        <v>1022.6764918379062</v>
      </c>
      <c r="S68" s="71">
        <v>8.2000203810257499</v>
      </c>
      <c r="T68" s="61">
        <v>4.6973331037213057</v>
      </c>
      <c r="U68" s="25">
        <v>1.6713335191533714</v>
      </c>
      <c r="V68" s="218" t="s">
        <v>232</v>
      </c>
      <c r="W68" s="246"/>
      <c r="X68" s="16">
        <v>0</v>
      </c>
      <c r="Y68" s="17">
        <v>0</v>
      </c>
      <c r="Z68" s="18">
        <v>0</v>
      </c>
      <c r="AA68" s="43">
        <v>0</v>
      </c>
      <c r="AB68" s="319" t="s">
        <v>290</v>
      </c>
    </row>
    <row r="69" spans="1:28" s="20" customFormat="1" x14ac:dyDescent="0.3">
      <c r="A69" s="429">
        <v>44263</v>
      </c>
      <c r="B69" s="40">
        <v>-6.3</v>
      </c>
      <c r="C69" s="14">
        <v>1.5</v>
      </c>
      <c r="D69" s="14">
        <v>-3.3</v>
      </c>
      <c r="E69" s="14">
        <v>4.3</v>
      </c>
      <c r="F69" s="14">
        <v>-6.7</v>
      </c>
      <c r="G69" s="76">
        <f t="shared" si="4"/>
        <v>11</v>
      </c>
      <c r="H69" s="76">
        <f t="shared" si="5"/>
        <v>-2.8499999999999996</v>
      </c>
      <c r="I69" s="78">
        <v>-1.7951388888888791</v>
      </c>
      <c r="J69" s="14">
        <v>-0.1</v>
      </c>
      <c r="K69" s="14">
        <v>-8.1</v>
      </c>
      <c r="L69" s="78">
        <v>-4.875208333333342</v>
      </c>
      <c r="M69" s="84">
        <v>92.1</v>
      </c>
      <c r="N69" s="24">
        <v>61.6</v>
      </c>
      <c r="O69" s="80">
        <v>80.034722222222172</v>
      </c>
      <c r="P69" s="117">
        <v>1022.19583220971</v>
      </c>
      <c r="Q69" s="21">
        <v>1016.33482488384</v>
      </c>
      <c r="R69" s="66">
        <v>1018.3243278748866</v>
      </c>
      <c r="S69" s="71">
        <v>8.8000218723203325</v>
      </c>
      <c r="T69" s="61">
        <v>5.1500128002783754</v>
      </c>
      <c r="U69" s="25">
        <v>1.2080697189087275</v>
      </c>
      <c r="V69" s="218" t="s">
        <v>237</v>
      </c>
      <c r="W69" s="246" t="s">
        <v>220</v>
      </c>
      <c r="X69" s="16">
        <v>0</v>
      </c>
      <c r="Y69" s="17">
        <v>0</v>
      </c>
      <c r="Z69" s="18">
        <v>0</v>
      </c>
      <c r="AA69" s="43">
        <v>0</v>
      </c>
      <c r="AB69" s="319" t="s">
        <v>211</v>
      </c>
    </row>
    <row r="70" spans="1:28" s="20" customFormat="1" x14ac:dyDescent="0.3">
      <c r="A70" s="429">
        <v>44264</v>
      </c>
      <c r="B70" s="40">
        <v>-8.1</v>
      </c>
      <c r="C70" s="14">
        <v>3.8</v>
      </c>
      <c r="D70" s="14">
        <v>-3.3</v>
      </c>
      <c r="E70" s="14">
        <v>5.0999999999999996</v>
      </c>
      <c r="F70" s="14">
        <v>-8.3000000000000007</v>
      </c>
      <c r="G70" s="76">
        <f t="shared" si="4"/>
        <v>13.4</v>
      </c>
      <c r="H70" s="76">
        <f t="shared" si="5"/>
        <v>-2.7249999999999996</v>
      </c>
      <c r="I70" s="78">
        <v>-2.1615972222222211</v>
      </c>
      <c r="J70" s="14">
        <v>-2.2999999999999998</v>
      </c>
      <c r="K70" s="14">
        <v>-9.6999999999999993</v>
      </c>
      <c r="L70" s="78">
        <v>-6.5418749999999966</v>
      </c>
      <c r="M70" s="84">
        <v>92</v>
      </c>
      <c r="N70" s="24">
        <v>44.1</v>
      </c>
      <c r="O70" s="80">
        <v>73.577430555555424</v>
      </c>
      <c r="P70" s="117">
        <v>1023.13816950491</v>
      </c>
      <c r="Q70" s="21">
        <v>1019.84333212713</v>
      </c>
      <c r="R70" s="66">
        <v>1021.5580172899193</v>
      </c>
      <c r="S70" s="71">
        <v>5.1000126760038338</v>
      </c>
      <c r="T70" s="61">
        <v>3.6142946975601387</v>
      </c>
      <c r="U70" s="25">
        <v>1.0668677310485757</v>
      </c>
      <c r="V70" s="218" t="s">
        <v>236</v>
      </c>
      <c r="W70" s="246" t="s">
        <v>220</v>
      </c>
      <c r="X70" s="16">
        <v>0</v>
      </c>
      <c r="Y70" s="17">
        <v>0</v>
      </c>
      <c r="Z70" s="18">
        <v>0</v>
      </c>
      <c r="AA70" s="43">
        <v>0</v>
      </c>
      <c r="AB70" s="319" t="s">
        <v>273</v>
      </c>
    </row>
    <row r="71" spans="1:28" s="20" customFormat="1" x14ac:dyDescent="0.3">
      <c r="A71" s="429">
        <v>44265</v>
      </c>
      <c r="B71" s="40">
        <v>-4.9000000000000004</v>
      </c>
      <c r="C71" s="14">
        <v>2.2000000000000002</v>
      </c>
      <c r="D71" s="14">
        <v>-3.1</v>
      </c>
      <c r="E71" s="14">
        <v>4.8</v>
      </c>
      <c r="F71" s="14">
        <v>-5.9</v>
      </c>
      <c r="G71" s="76">
        <f t="shared" si="4"/>
        <v>10.7</v>
      </c>
      <c r="H71" s="76">
        <f t="shared" si="5"/>
        <v>-2.2250000000000001</v>
      </c>
      <c r="I71" s="78">
        <v>-1.2659722222222218</v>
      </c>
      <c r="J71" s="14">
        <v>-2</v>
      </c>
      <c r="K71" s="14">
        <v>-8.3000000000000007</v>
      </c>
      <c r="L71" s="78">
        <v>-5.7357638888889069</v>
      </c>
      <c r="M71" s="84">
        <v>85.3</v>
      </c>
      <c r="N71" s="24">
        <v>52.4</v>
      </c>
      <c r="O71" s="80">
        <v>72.384444444444497</v>
      </c>
      <c r="P71" s="117">
        <v>1022.86014802348</v>
      </c>
      <c r="Q71" s="21">
        <v>1019.31787094522</v>
      </c>
      <c r="R71" s="66">
        <v>1020.5517691584911</v>
      </c>
      <c r="S71" s="71">
        <v>9.2000228665167221</v>
      </c>
      <c r="T71" s="61">
        <v>5.8500145401220411</v>
      </c>
      <c r="U71" s="25">
        <v>1.6241917849198171</v>
      </c>
      <c r="V71" s="218" t="s">
        <v>237</v>
      </c>
      <c r="W71" s="246" t="s">
        <v>220</v>
      </c>
      <c r="X71" s="16">
        <v>0</v>
      </c>
      <c r="Y71" s="17">
        <v>0</v>
      </c>
      <c r="Z71" s="18">
        <v>0</v>
      </c>
      <c r="AA71" s="43">
        <v>0</v>
      </c>
      <c r="AB71" s="319" t="s">
        <v>273</v>
      </c>
    </row>
    <row r="72" spans="1:28" s="20" customFormat="1" x14ac:dyDescent="0.3">
      <c r="A72" s="429">
        <v>44266</v>
      </c>
      <c r="B72" s="40">
        <v>-8.9</v>
      </c>
      <c r="C72" s="14">
        <v>4.4000000000000004</v>
      </c>
      <c r="D72" s="14">
        <v>4.3</v>
      </c>
      <c r="E72" s="14">
        <v>5.0999999999999996</v>
      </c>
      <c r="F72" s="14">
        <v>-9.4</v>
      </c>
      <c r="G72" s="76">
        <f t="shared" si="4"/>
        <v>14.5</v>
      </c>
      <c r="H72" s="76">
        <f t="shared" si="5"/>
        <v>1.0249999999999999</v>
      </c>
      <c r="I72" s="78">
        <v>-0.28388888888889191</v>
      </c>
      <c r="J72" s="14">
        <v>-2.8</v>
      </c>
      <c r="K72" s="14">
        <v>-11</v>
      </c>
      <c r="L72" s="78">
        <v>-6.0705555555555382</v>
      </c>
      <c r="M72" s="84">
        <v>90.2</v>
      </c>
      <c r="N72" s="24">
        <v>47.1</v>
      </c>
      <c r="O72" s="80">
        <v>66.99458333333331</v>
      </c>
      <c r="P72" s="117">
        <v>1022.66178785662</v>
      </c>
      <c r="Q72" s="21">
        <v>1009.48682677488</v>
      </c>
      <c r="R72" s="66">
        <v>1017.3865136931158</v>
      </c>
      <c r="S72" s="71">
        <v>14.600036288167832</v>
      </c>
      <c r="T72" s="61">
        <v>8.485735376880319</v>
      </c>
      <c r="U72" s="25">
        <v>3.3740039217496438</v>
      </c>
      <c r="V72" s="218" t="s">
        <v>231</v>
      </c>
      <c r="W72" s="246" t="s">
        <v>274</v>
      </c>
      <c r="X72" s="16">
        <v>0</v>
      </c>
      <c r="Y72" s="17">
        <v>0</v>
      </c>
      <c r="Z72" s="18">
        <v>0</v>
      </c>
      <c r="AA72" s="43">
        <v>0</v>
      </c>
      <c r="AB72" s="319" t="s">
        <v>211</v>
      </c>
    </row>
    <row r="73" spans="1:28" s="20" customFormat="1" x14ac:dyDescent="0.3">
      <c r="A73" s="429">
        <v>44267</v>
      </c>
      <c r="B73" s="40">
        <v>1.3</v>
      </c>
      <c r="C73" s="14">
        <v>3.9</v>
      </c>
      <c r="D73" s="14">
        <v>2.8</v>
      </c>
      <c r="E73" s="14">
        <v>5.3</v>
      </c>
      <c r="F73" s="14">
        <v>1</v>
      </c>
      <c r="G73" s="76">
        <f t="shared" si="4"/>
        <v>4.3</v>
      </c>
      <c r="H73" s="76">
        <f t="shared" si="5"/>
        <v>2.7</v>
      </c>
      <c r="I73" s="78">
        <v>3.0080555555555821</v>
      </c>
      <c r="J73" s="14">
        <v>2.4</v>
      </c>
      <c r="K73" s="14">
        <v>-3.6</v>
      </c>
      <c r="L73" s="78">
        <v>0.53270833333333767</v>
      </c>
      <c r="M73" s="84">
        <v>90.5</v>
      </c>
      <c r="N73" s="24">
        <v>53.4</v>
      </c>
      <c r="O73" s="80">
        <v>84.209513888889063</v>
      </c>
      <c r="P73" s="117">
        <v>1011.19460172738</v>
      </c>
      <c r="Q73" s="21">
        <v>1007.45711279647</v>
      </c>
      <c r="R73" s="66">
        <v>1009.605518040939</v>
      </c>
      <c r="S73" s="71">
        <v>11.900029577342277</v>
      </c>
      <c r="T73" s="61">
        <v>7.7285906378657501</v>
      </c>
      <c r="U73" s="25">
        <v>2.7501701126223308</v>
      </c>
      <c r="V73" s="218" t="s">
        <v>232</v>
      </c>
      <c r="W73" s="246" t="s">
        <v>274</v>
      </c>
      <c r="X73" s="16">
        <v>0</v>
      </c>
      <c r="Y73" s="17">
        <v>0</v>
      </c>
      <c r="Z73" s="18">
        <v>0</v>
      </c>
      <c r="AA73" s="43">
        <v>0</v>
      </c>
      <c r="AB73" s="319" t="s">
        <v>212</v>
      </c>
    </row>
    <row r="74" spans="1:28" s="20" customFormat="1" x14ac:dyDescent="0.3">
      <c r="A74" s="429">
        <v>44268</v>
      </c>
      <c r="B74" s="40">
        <v>2.2999999999999998</v>
      </c>
      <c r="C74" s="14">
        <v>8.1</v>
      </c>
      <c r="D74" s="14">
        <v>9.6</v>
      </c>
      <c r="E74" s="14">
        <v>12.3</v>
      </c>
      <c r="F74" s="14">
        <v>2.1</v>
      </c>
      <c r="G74" s="76">
        <f t="shared" si="4"/>
        <v>10.200000000000001</v>
      </c>
      <c r="H74" s="76">
        <f t="shared" si="5"/>
        <v>7.3999999999999995</v>
      </c>
      <c r="I74" s="78">
        <v>6.5111111111111164</v>
      </c>
      <c r="J74" s="14">
        <v>6</v>
      </c>
      <c r="K74" s="14">
        <v>0.6</v>
      </c>
      <c r="L74" s="78">
        <v>2.375416666666669</v>
      </c>
      <c r="M74" s="84">
        <v>91.4</v>
      </c>
      <c r="N74" s="24">
        <v>51.4</v>
      </c>
      <c r="O74" s="80">
        <v>76.082777777777721</v>
      </c>
      <c r="P74" s="117">
        <v>1011.47949350343</v>
      </c>
      <c r="Q74" s="21">
        <v>1005.87507220446</v>
      </c>
      <c r="R74" s="66">
        <v>1008.1124704231074</v>
      </c>
      <c r="S74" s="71">
        <v>12.900032062833221</v>
      </c>
      <c r="T74" s="61">
        <v>8.4928782517766805</v>
      </c>
      <c r="U74" s="25">
        <v>2.2233853886989037</v>
      </c>
      <c r="V74" s="218" t="s">
        <v>231</v>
      </c>
      <c r="W74" s="247" t="s">
        <v>224</v>
      </c>
      <c r="X74" s="26">
        <v>0</v>
      </c>
      <c r="Y74" s="27">
        <v>0</v>
      </c>
      <c r="Z74" s="28">
        <v>0</v>
      </c>
      <c r="AA74" s="29">
        <v>0</v>
      </c>
      <c r="AB74" s="320" t="s">
        <v>209</v>
      </c>
    </row>
    <row r="75" spans="1:28" s="20" customFormat="1" x14ac:dyDescent="0.3">
      <c r="A75" s="429">
        <v>44269</v>
      </c>
      <c r="B75" s="40">
        <v>5.8</v>
      </c>
      <c r="C75" s="14">
        <v>9.4</v>
      </c>
      <c r="D75" s="14">
        <v>4.5</v>
      </c>
      <c r="E75" s="14">
        <v>10.199999999999999</v>
      </c>
      <c r="F75" s="14">
        <v>2.7</v>
      </c>
      <c r="G75" s="76">
        <f t="shared" si="4"/>
        <v>7.4999999999999991</v>
      </c>
      <c r="H75" s="76">
        <f t="shared" si="5"/>
        <v>6.05</v>
      </c>
      <c r="I75" s="78">
        <v>6.6198879551820635</v>
      </c>
      <c r="J75" s="14">
        <v>6.6</v>
      </c>
      <c r="K75" s="14">
        <v>1.5</v>
      </c>
      <c r="L75" s="78">
        <v>4.0915266106442401</v>
      </c>
      <c r="M75" s="84">
        <v>92.8</v>
      </c>
      <c r="N75" s="24">
        <v>70.7</v>
      </c>
      <c r="O75" s="80">
        <v>84.101750700280206</v>
      </c>
      <c r="P75" s="117">
        <v>1008.23314645083</v>
      </c>
      <c r="Q75" s="21">
        <v>1003.14100449978</v>
      </c>
      <c r="R75" s="66">
        <v>1005.4780979790986</v>
      </c>
      <c r="S75" s="71">
        <v>9.9000246063603612</v>
      </c>
      <c r="T75" s="61">
        <v>6.6723380125659446</v>
      </c>
      <c r="U75" s="25">
        <v>2.0997944055149511</v>
      </c>
      <c r="V75" s="218" t="s">
        <v>232</v>
      </c>
      <c r="W75" s="247" t="s">
        <v>215</v>
      </c>
      <c r="X75" s="26">
        <v>3.6</v>
      </c>
      <c r="Y75" s="27">
        <v>0.5</v>
      </c>
      <c r="Z75" s="28">
        <v>0</v>
      </c>
      <c r="AA75" s="29">
        <v>0</v>
      </c>
      <c r="AB75" s="320" t="s">
        <v>282</v>
      </c>
    </row>
    <row r="76" spans="1:28" s="20" customFormat="1" x14ac:dyDescent="0.3">
      <c r="A76" s="429">
        <v>44270</v>
      </c>
      <c r="B76" s="40">
        <v>2.9</v>
      </c>
      <c r="C76" s="14">
        <v>8.1</v>
      </c>
      <c r="D76" s="14">
        <v>4.5</v>
      </c>
      <c r="E76" s="14">
        <v>9.1999999999999993</v>
      </c>
      <c r="F76" s="14">
        <v>2.5</v>
      </c>
      <c r="G76" s="76">
        <f t="shared" si="4"/>
        <v>6.6999999999999993</v>
      </c>
      <c r="H76" s="76">
        <f t="shared" si="5"/>
        <v>5</v>
      </c>
      <c r="I76" s="78">
        <v>5.0143055555555529</v>
      </c>
      <c r="J76" s="14">
        <v>3.2</v>
      </c>
      <c r="K76" s="14">
        <v>-0.9</v>
      </c>
      <c r="L76" s="78">
        <v>0.4353472222222215</v>
      </c>
      <c r="M76" s="84">
        <v>92.2</v>
      </c>
      <c r="N76" s="24">
        <v>56.2</v>
      </c>
      <c r="O76" s="80">
        <v>72.879374999999968</v>
      </c>
      <c r="P76" s="117">
        <v>1008.30894126334</v>
      </c>
      <c r="Q76" s="21">
        <v>1004.91573199094</v>
      </c>
      <c r="R76" s="66">
        <v>1006.74237560746</v>
      </c>
      <c r="S76" s="71">
        <v>10.500026097654944</v>
      </c>
      <c r="T76" s="61">
        <v>6.6509093878768333</v>
      </c>
      <c r="U76" s="25">
        <v>2.6504282145830871</v>
      </c>
      <c r="V76" s="218" t="s">
        <v>237</v>
      </c>
      <c r="W76" s="247"/>
      <c r="X76" s="26">
        <v>0</v>
      </c>
      <c r="Y76" s="27">
        <v>0</v>
      </c>
      <c r="Z76" s="28">
        <v>0</v>
      </c>
      <c r="AA76" s="29">
        <v>0</v>
      </c>
      <c r="AB76" s="320" t="s">
        <v>212</v>
      </c>
    </row>
    <row r="77" spans="1:28" s="20" customFormat="1" x14ac:dyDescent="0.3">
      <c r="A77" s="429">
        <v>44271</v>
      </c>
      <c r="B77" s="40">
        <v>2</v>
      </c>
      <c r="C77" s="14">
        <v>8.8000000000000007</v>
      </c>
      <c r="D77" s="14">
        <v>3.2</v>
      </c>
      <c r="E77" s="14">
        <v>10.3</v>
      </c>
      <c r="F77" s="14">
        <v>-1.3</v>
      </c>
      <c r="G77" s="76">
        <f t="shared" si="4"/>
        <v>11.600000000000001</v>
      </c>
      <c r="H77" s="76">
        <f t="shared" si="5"/>
        <v>4.3000000000000007</v>
      </c>
      <c r="I77" s="78">
        <v>4.6188888888888924</v>
      </c>
      <c r="J77" s="14">
        <v>3</v>
      </c>
      <c r="K77" s="14">
        <v>-3.2</v>
      </c>
      <c r="L77" s="78">
        <v>-6.6458333333333328E-2</v>
      </c>
      <c r="M77" s="84">
        <v>88.4</v>
      </c>
      <c r="N77" s="24">
        <v>51.1</v>
      </c>
      <c r="O77" s="80">
        <v>72.499513888889226</v>
      </c>
      <c r="P77" s="117">
        <v>1010.7976891616501</v>
      </c>
      <c r="Q77" s="21">
        <v>1005.7128505545199</v>
      </c>
      <c r="R77" s="66">
        <v>1007.9722852531727</v>
      </c>
      <c r="S77" s="71">
        <v>11.900029577342277</v>
      </c>
      <c r="T77" s="61">
        <v>6.5714449046547916</v>
      </c>
      <c r="U77" s="25">
        <v>2.7701395736317802</v>
      </c>
      <c r="V77" s="218" t="s">
        <v>240</v>
      </c>
      <c r="W77" s="247"/>
      <c r="X77" s="26">
        <v>0</v>
      </c>
      <c r="Y77" s="27">
        <v>0</v>
      </c>
      <c r="Z77" s="28">
        <v>0</v>
      </c>
      <c r="AA77" s="29">
        <v>0</v>
      </c>
      <c r="AB77" s="320" t="s">
        <v>209</v>
      </c>
    </row>
    <row r="78" spans="1:28" s="20" customFormat="1" x14ac:dyDescent="0.3">
      <c r="A78" s="429">
        <v>44272</v>
      </c>
      <c r="B78" s="40">
        <v>3</v>
      </c>
      <c r="C78" s="14">
        <v>8</v>
      </c>
      <c r="D78" s="14">
        <v>3.5</v>
      </c>
      <c r="E78" s="14">
        <v>9.1999999999999993</v>
      </c>
      <c r="F78" s="14">
        <v>2.2999999999999998</v>
      </c>
      <c r="G78" s="76">
        <f t="shared" si="4"/>
        <v>6.8999999999999995</v>
      </c>
      <c r="H78" s="76">
        <f t="shared" si="5"/>
        <v>4.5</v>
      </c>
      <c r="I78" s="78">
        <v>4.8424239766081847</v>
      </c>
      <c r="J78" s="14">
        <v>-0.16364160662945401</v>
      </c>
      <c r="K78" s="14">
        <v>-4.2214898460577297</v>
      </c>
      <c r="L78" s="78">
        <v>-2.4969956502594393</v>
      </c>
      <c r="M78" s="84">
        <v>71</v>
      </c>
      <c r="N78" s="24">
        <v>40</v>
      </c>
      <c r="O78" s="80">
        <v>59.854469507101086</v>
      </c>
      <c r="P78" s="117">
        <v>1015.71696501987</v>
      </c>
      <c r="Q78" s="21">
        <v>1010.46455548525</v>
      </c>
      <c r="R78" s="66">
        <v>1012.3175741068214</v>
      </c>
      <c r="S78" s="71">
        <v>11.200027837498611</v>
      </c>
      <c r="T78" s="61">
        <v>6.8366241351823049</v>
      </c>
      <c r="U78" s="25">
        <v>3.4767329521437387</v>
      </c>
      <c r="V78" s="218" t="s">
        <v>240</v>
      </c>
      <c r="W78" s="247"/>
      <c r="X78" s="26">
        <v>0</v>
      </c>
      <c r="Y78" s="27">
        <v>0</v>
      </c>
      <c r="Z78" s="28">
        <v>0</v>
      </c>
      <c r="AA78" s="29">
        <v>0</v>
      </c>
      <c r="AB78" s="320" t="s">
        <v>283</v>
      </c>
    </row>
    <row r="79" spans="1:28" s="20" customFormat="1" ht="28.8" x14ac:dyDescent="0.3">
      <c r="A79" s="429">
        <v>44273</v>
      </c>
      <c r="B79" s="40">
        <v>1.6</v>
      </c>
      <c r="C79" s="14">
        <v>6.2</v>
      </c>
      <c r="D79" s="14">
        <v>-0.3</v>
      </c>
      <c r="E79" s="14">
        <v>7.8428571428571399</v>
      </c>
      <c r="F79" s="14">
        <v>-3.6428571428571401</v>
      </c>
      <c r="G79" s="76">
        <f t="shared" si="4"/>
        <v>11.48571428571428</v>
      </c>
      <c r="H79" s="76">
        <f t="shared" si="5"/>
        <v>1.8000000000000003</v>
      </c>
      <c r="I79" s="78">
        <v>3.1413814484126998</v>
      </c>
      <c r="J79" s="14">
        <v>-2.4690411333782101</v>
      </c>
      <c r="K79" s="14">
        <v>-10.266953506058</v>
      </c>
      <c r="L79" s="78">
        <v>-5.7802178196917362</v>
      </c>
      <c r="M79" s="84">
        <v>65</v>
      </c>
      <c r="N79" s="24">
        <v>34.857142857142897</v>
      </c>
      <c r="O79" s="80">
        <v>52.709387400793666</v>
      </c>
      <c r="P79" s="117">
        <v>1017.06735207642</v>
      </c>
      <c r="Q79" s="21">
        <v>1015.21081985675</v>
      </c>
      <c r="R79" s="66">
        <v>1016.0801832147297</v>
      </c>
      <c r="S79" s="71">
        <v>10.500026097654944</v>
      </c>
      <c r="T79" s="61">
        <v>5.9714434133602357</v>
      </c>
      <c r="U79" s="25">
        <v>2.6440107879183836</v>
      </c>
      <c r="V79" s="218" t="s">
        <v>240</v>
      </c>
      <c r="W79" s="247" t="s">
        <v>220</v>
      </c>
      <c r="X79" s="26">
        <v>0</v>
      </c>
      <c r="Y79" s="27">
        <v>0</v>
      </c>
      <c r="Z79" s="28">
        <v>0</v>
      </c>
      <c r="AA79" s="29">
        <v>0</v>
      </c>
      <c r="AB79" s="320" t="s">
        <v>284</v>
      </c>
    </row>
    <row r="80" spans="1:28" s="20" customFormat="1" ht="28.8" x14ac:dyDescent="0.3">
      <c r="A80" s="429">
        <v>44274</v>
      </c>
      <c r="B80" s="40">
        <v>-5.4</v>
      </c>
      <c r="C80" s="14">
        <v>3</v>
      </c>
      <c r="D80" s="14">
        <v>-0.9</v>
      </c>
      <c r="E80" s="14">
        <v>5.5142857142857098</v>
      </c>
      <c r="F80" s="14">
        <v>-6.6</v>
      </c>
      <c r="G80" s="76">
        <f t="shared" si="4"/>
        <v>12.11428571428571</v>
      </c>
      <c r="H80" s="76">
        <f t="shared" si="5"/>
        <v>-1.05</v>
      </c>
      <c r="I80" s="78">
        <v>-0.72123015873015817</v>
      </c>
      <c r="J80" s="14">
        <v>-1.9553486607655699</v>
      </c>
      <c r="K80" s="14">
        <v>-12.2639082444586</v>
      </c>
      <c r="L80" s="78">
        <v>-7.8773011097500341</v>
      </c>
      <c r="M80" s="84">
        <v>72</v>
      </c>
      <c r="N80" s="24">
        <v>42</v>
      </c>
      <c r="O80" s="80">
        <v>58.981212797619023</v>
      </c>
      <c r="P80" s="117">
        <v>1019.51932415535</v>
      </c>
      <c r="Q80" s="21">
        <v>1015.3726250600801</v>
      </c>
      <c r="R80" s="66">
        <v>1016.5519070305248</v>
      </c>
      <c r="S80" s="71">
        <v>8.5000211266730545</v>
      </c>
      <c r="T80" s="61">
        <v>4.5428684340874446</v>
      </c>
      <c r="U80" s="25">
        <v>1.3209916265585351</v>
      </c>
      <c r="V80" s="218" t="s">
        <v>240</v>
      </c>
      <c r="W80" s="247" t="s">
        <v>216</v>
      </c>
      <c r="X80" s="26">
        <v>2.4</v>
      </c>
      <c r="Y80" s="27">
        <v>0.3</v>
      </c>
      <c r="Z80" s="28">
        <v>0</v>
      </c>
      <c r="AA80" s="29">
        <v>0</v>
      </c>
      <c r="AB80" s="320" t="s">
        <v>285</v>
      </c>
    </row>
    <row r="81" spans="1:28" s="20" customFormat="1" x14ac:dyDescent="0.3">
      <c r="A81" s="429">
        <v>44275</v>
      </c>
      <c r="B81" s="40">
        <v>-4.7</v>
      </c>
      <c r="C81" s="14">
        <v>3.8</v>
      </c>
      <c r="D81" s="14">
        <v>-3.1</v>
      </c>
      <c r="E81" s="14">
        <v>5.4857142857142804</v>
      </c>
      <c r="F81" s="14">
        <v>-6.0714285714285703</v>
      </c>
      <c r="G81" s="76">
        <f t="shared" si="4"/>
        <v>11.55714285714285</v>
      </c>
      <c r="H81" s="76">
        <f t="shared" si="5"/>
        <v>-1.7750000000000001</v>
      </c>
      <c r="I81" s="78">
        <v>-1.2374193948412695</v>
      </c>
      <c r="J81" s="14">
        <v>-3.57598284545558</v>
      </c>
      <c r="K81" s="14">
        <v>-12.155076939402401</v>
      </c>
      <c r="L81" s="78">
        <v>-8.3997870591076307</v>
      </c>
      <c r="M81" s="84">
        <v>75.714285714285694</v>
      </c>
      <c r="N81" s="24">
        <v>42.25</v>
      </c>
      <c r="O81" s="80">
        <v>59.08996775793652</v>
      </c>
      <c r="P81" s="117">
        <v>1024.0469274003599</v>
      </c>
      <c r="Q81" s="21">
        <v>1019.44882337995</v>
      </c>
      <c r="R81" s="66">
        <v>1022.2958604162692</v>
      </c>
      <c r="S81" s="71">
        <v>7.5000186411821108</v>
      </c>
      <c r="T81" s="61">
        <v>5.0714411764183609</v>
      </c>
      <c r="U81" s="25">
        <v>1.4480112048299012</v>
      </c>
      <c r="V81" s="218" t="s">
        <v>237</v>
      </c>
      <c r="W81" s="247"/>
      <c r="X81" s="26">
        <v>0</v>
      </c>
      <c r="Y81" s="27">
        <v>0</v>
      </c>
      <c r="Z81" s="28">
        <v>0</v>
      </c>
      <c r="AA81" s="29">
        <v>0</v>
      </c>
      <c r="AB81" s="320" t="s">
        <v>286</v>
      </c>
    </row>
    <row r="82" spans="1:28" s="20" customFormat="1" x14ac:dyDescent="0.3">
      <c r="A82" s="429">
        <v>44276</v>
      </c>
      <c r="B82" s="40">
        <v>-8.5</v>
      </c>
      <c r="C82" s="14">
        <v>6.5</v>
      </c>
      <c r="D82" s="14">
        <v>2.8</v>
      </c>
      <c r="E82" s="14">
        <v>7.45714285714286</v>
      </c>
      <c r="F82" s="14">
        <v>-8.6999999999999993</v>
      </c>
      <c r="G82" s="76">
        <f t="shared" si="4"/>
        <v>16.157142857142858</v>
      </c>
      <c r="H82" s="76">
        <f t="shared" si="5"/>
        <v>0.89999999999999991</v>
      </c>
      <c r="I82" s="78">
        <v>0.5938952051408819</v>
      </c>
      <c r="J82" s="14">
        <v>-5.8070185429284003</v>
      </c>
      <c r="K82" s="14">
        <v>-15.646502218047701</v>
      </c>
      <c r="L82" s="78">
        <v>-11.185611172131074</v>
      </c>
      <c r="M82" s="84">
        <v>71</v>
      </c>
      <c r="N82" s="24">
        <v>20</v>
      </c>
      <c r="O82" s="80">
        <v>45.204028670291635</v>
      </c>
      <c r="P82" s="117">
        <v>1023.40637668912</v>
      </c>
      <c r="Q82" s="21">
        <v>1008.85289106523</v>
      </c>
      <c r="R82" s="66">
        <v>1014.5521078744479</v>
      </c>
      <c r="S82" s="71">
        <v>9.9000246063603612</v>
      </c>
      <c r="T82" s="61">
        <v>7.7357335127621116</v>
      </c>
      <c r="U82" s="25">
        <v>2.245797722281599</v>
      </c>
      <c r="V82" s="218" t="s">
        <v>231</v>
      </c>
      <c r="W82" s="247" t="s">
        <v>216</v>
      </c>
      <c r="X82" s="26">
        <v>1.2</v>
      </c>
      <c r="Y82" s="27">
        <v>0.1</v>
      </c>
      <c r="Z82" s="28">
        <v>0</v>
      </c>
      <c r="AA82" s="29">
        <v>0</v>
      </c>
      <c r="AB82" s="320" t="s">
        <v>287</v>
      </c>
    </row>
    <row r="83" spans="1:28" s="20" customFormat="1" x14ac:dyDescent="0.3">
      <c r="A83" s="429">
        <v>44277</v>
      </c>
      <c r="B83" s="40">
        <v>1.2</v>
      </c>
      <c r="C83" s="14">
        <v>6.2</v>
      </c>
      <c r="D83" s="14">
        <v>-0.8</v>
      </c>
      <c r="E83" s="14">
        <v>7.8</v>
      </c>
      <c r="F83" s="14">
        <v>-4</v>
      </c>
      <c r="G83" s="76">
        <f t="shared" si="4"/>
        <v>11.8</v>
      </c>
      <c r="H83" s="76">
        <f t="shared" si="5"/>
        <v>1.4500000000000002</v>
      </c>
      <c r="I83" s="78">
        <v>1.6831944444444411</v>
      </c>
      <c r="J83" s="14">
        <v>0.5</v>
      </c>
      <c r="K83" s="14">
        <v>-6.7</v>
      </c>
      <c r="L83" s="78">
        <v>-3.2993750000000022</v>
      </c>
      <c r="M83" s="84">
        <v>87.9</v>
      </c>
      <c r="N83" s="24">
        <v>40</v>
      </c>
      <c r="O83" s="80">
        <v>71.393194444444404</v>
      </c>
      <c r="P83" s="117">
        <v>1018.1965780371</v>
      </c>
      <c r="Q83" s="21">
        <v>1008.46873469297</v>
      </c>
      <c r="R83" s="66">
        <v>1012.5800722154439</v>
      </c>
      <c r="S83" s="71">
        <v>12.900032062833221</v>
      </c>
      <c r="T83" s="61">
        <v>8.8428791216985125</v>
      </c>
      <c r="U83" s="25">
        <v>2.6805475981327396</v>
      </c>
      <c r="V83" s="218" t="s">
        <v>237</v>
      </c>
      <c r="W83" s="249" t="s">
        <v>216</v>
      </c>
      <c r="X83" s="26">
        <v>1.2</v>
      </c>
      <c r="Y83" s="27">
        <v>0.1</v>
      </c>
      <c r="Z83" s="28">
        <v>0</v>
      </c>
      <c r="AA83" s="29">
        <v>0</v>
      </c>
      <c r="AB83" s="320" t="s">
        <v>288</v>
      </c>
    </row>
    <row r="84" spans="1:28" s="20" customFormat="1" x14ac:dyDescent="0.3">
      <c r="A84" s="429">
        <v>44278</v>
      </c>
      <c r="B84" s="40">
        <v>-1.7</v>
      </c>
      <c r="C84" s="14">
        <v>8.4</v>
      </c>
      <c r="D84" s="14">
        <v>3.8</v>
      </c>
      <c r="E84" s="14">
        <v>9.6</v>
      </c>
      <c r="F84" s="14">
        <v>-4.2</v>
      </c>
      <c r="G84" s="76">
        <f t="shared" si="4"/>
        <v>13.8</v>
      </c>
      <c r="H84" s="76">
        <f t="shared" si="5"/>
        <v>3.5750000000000002</v>
      </c>
      <c r="I84" s="78">
        <v>3.1940277777777863</v>
      </c>
      <c r="J84" s="14">
        <v>2</v>
      </c>
      <c r="K84" s="14">
        <v>-5.8</v>
      </c>
      <c r="L84" s="78">
        <v>-1.0208333333333335</v>
      </c>
      <c r="M84" s="84">
        <v>90.4</v>
      </c>
      <c r="N84" s="24">
        <v>49.3</v>
      </c>
      <c r="O84" s="80">
        <v>75.539097222222139</v>
      </c>
      <c r="P84" s="117">
        <v>1018.54728077947</v>
      </c>
      <c r="Q84" s="21">
        <v>1016.02587915375</v>
      </c>
      <c r="R84" s="66">
        <v>1017.4264253182916</v>
      </c>
      <c r="S84" s="71">
        <v>10.200025352007668</v>
      </c>
      <c r="T84" s="61">
        <v>6.0785865368056804</v>
      </c>
      <c r="U84" s="25">
        <v>2.2862408014643076</v>
      </c>
      <c r="V84" s="218" t="s">
        <v>240</v>
      </c>
      <c r="W84" s="247" t="s">
        <v>213</v>
      </c>
      <c r="X84" s="26">
        <v>1.2</v>
      </c>
      <c r="Y84" s="27">
        <v>1.7</v>
      </c>
      <c r="Z84" s="28">
        <v>0</v>
      </c>
      <c r="AA84" s="29">
        <v>0</v>
      </c>
      <c r="AB84" s="320" t="s">
        <v>212</v>
      </c>
    </row>
    <row r="85" spans="1:28" s="20" customFormat="1" x14ac:dyDescent="0.3">
      <c r="A85" s="429">
        <v>44279</v>
      </c>
      <c r="B85" s="40">
        <v>1.5</v>
      </c>
      <c r="C85" s="14">
        <v>11.6</v>
      </c>
      <c r="D85" s="14">
        <v>3.6</v>
      </c>
      <c r="E85" s="14">
        <v>12.3</v>
      </c>
      <c r="F85" s="14">
        <v>-1.8</v>
      </c>
      <c r="G85" s="76">
        <f t="shared" si="4"/>
        <v>14.100000000000001</v>
      </c>
      <c r="H85" s="76">
        <f t="shared" si="5"/>
        <v>5.0750000000000002</v>
      </c>
      <c r="I85" s="78">
        <v>5.01291666666667</v>
      </c>
      <c r="J85" s="14">
        <v>2</v>
      </c>
      <c r="K85" s="14">
        <v>-4.0999999999999996</v>
      </c>
      <c r="L85" s="78">
        <v>-0.66194444444444445</v>
      </c>
      <c r="M85" s="84">
        <v>90.2</v>
      </c>
      <c r="N85" s="24">
        <v>33.4</v>
      </c>
      <c r="O85" s="80">
        <v>69.865138888889021</v>
      </c>
      <c r="P85" s="117">
        <v>1023.20594312899</v>
      </c>
      <c r="Q85" s="21">
        <v>1018.23815833174</v>
      </c>
      <c r="R85" s="66">
        <v>1020.7183167802206</v>
      </c>
      <c r="S85" s="71">
        <v>9.9000246063603612</v>
      </c>
      <c r="T85" s="61">
        <v>6.2785870339038743</v>
      </c>
      <c r="U85" s="25">
        <v>2.360298525216193</v>
      </c>
      <c r="V85" s="218" t="s">
        <v>237</v>
      </c>
      <c r="W85" s="247"/>
      <c r="X85" s="26">
        <v>0</v>
      </c>
      <c r="Y85" s="27">
        <v>0</v>
      </c>
      <c r="Z85" s="28">
        <v>0</v>
      </c>
      <c r="AA85" s="29">
        <v>0</v>
      </c>
      <c r="AB85" s="320" t="s">
        <v>211</v>
      </c>
    </row>
    <row r="86" spans="1:28" s="20" customFormat="1" x14ac:dyDescent="0.3">
      <c r="A86" s="429">
        <v>44280</v>
      </c>
      <c r="B86" s="40">
        <v>0.2</v>
      </c>
      <c r="C86" s="14">
        <v>9.9</v>
      </c>
      <c r="D86" s="14">
        <v>5.0999999999999996</v>
      </c>
      <c r="E86" s="14">
        <v>11</v>
      </c>
      <c r="F86" s="14">
        <v>-2.6</v>
      </c>
      <c r="G86" s="76">
        <f t="shared" si="4"/>
        <v>13.6</v>
      </c>
      <c r="H86" s="76">
        <f t="shared" si="5"/>
        <v>5.0749999999999993</v>
      </c>
      <c r="I86" s="78">
        <v>3.9071527777777799</v>
      </c>
      <c r="J86" s="14">
        <v>5</v>
      </c>
      <c r="K86" s="14">
        <v>-4.0999999999999996</v>
      </c>
      <c r="L86" s="78">
        <v>7.2222222222224172E-2</v>
      </c>
      <c r="M86" s="84">
        <v>91.5</v>
      </c>
      <c r="N86" s="24">
        <v>54.8</v>
      </c>
      <c r="O86" s="80">
        <v>77.402222222222335</v>
      </c>
      <c r="P86" s="117">
        <v>1023.45754366672</v>
      </c>
      <c r="Q86" s="21">
        <v>1019.96071504114</v>
      </c>
      <c r="R86" s="66">
        <v>1021.7626570733898</v>
      </c>
      <c r="S86" s="71">
        <v>4.4000109361601663</v>
      </c>
      <c r="T86" s="61">
        <v>2.9000072079237498</v>
      </c>
      <c r="U86" s="25">
        <v>0.88129559322455231</v>
      </c>
      <c r="V86" s="218" t="s">
        <v>238</v>
      </c>
      <c r="W86" s="247"/>
      <c r="X86" s="26">
        <v>0</v>
      </c>
      <c r="Y86" s="27">
        <v>0</v>
      </c>
      <c r="Z86" s="28">
        <v>0</v>
      </c>
      <c r="AA86" s="29">
        <v>0</v>
      </c>
      <c r="AB86" s="320" t="s">
        <v>209</v>
      </c>
    </row>
    <row r="87" spans="1:28" s="20" customFormat="1" x14ac:dyDescent="0.3">
      <c r="A87" s="429">
        <v>44281</v>
      </c>
      <c r="B87" s="40">
        <v>-2.7</v>
      </c>
      <c r="C87" s="14">
        <v>14.7</v>
      </c>
      <c r="D87" s="14">
        <v>4.0999999999999996</v>
      </c>
      <c r="E87" s="14">
        <v>15.6</v>
      </c>
      <c r="F87" s="14">
        <v>-4.5999999999999996</v>
      </c>
      <c r="G87" s="76">
        <f t="shared" si="4"/>
        <v>20.2</v>
      </c>
      <c r="H87" s="76">
        <f t="shared" si="5"/>
        <v>5.05</v>
      </c>
      <c r="I87" s="78">
        <v>5.1865277777777816</v>
      </c>
      <c r="J87" s="14">
        <v>5.8</v>
      </c>
      <c r="K87" s="14">
        <v>-6</v>
      </c>
      <c r="L87" s="78">
        <v>0.34493055555555696</v>
      </c>
      <c r="M87" s="84">
        <v>92</v>
      </c>
      <c r="N87" s="24">
        <v>47.4</v>
      </c>
      <c r="O87" s="80">
        <v>73.468611111111102</v>
      </c>
      <c r="P87" s="117">
        <v>1024.59807685028</v>
      </c>
      <c r="Q87" s="21">
        <v>1020.9702804604</v>
      </c>
      <c r="R87" s="66">
        <v>1023.1224754843133</v>
      </c>
      <c r="S87" s="71">
        <v>5.1000126760038338</v>
      </c>
      <c r="T87" s="61">
        <v>2.5642920877946418</v>
      </c>
      <c r="U87" s="25">
        <v>0.82707298821699782</v>
      </c>
      <c r="V87" s="218" t="s">
        <v>232</v>
      </c>
      <c r="W87" s="247"/>
      <c r="X87" s="26">
        <v>0</v>
      </c>
      <c r="Y87" s="27">
        <v>0</v>
      </c>
      <c r="Z87" s="28">
        <v>0</v>
      </c>
      <c r="AA87" s="29">
        <v>0</v>
      </c>
      <c r="AB87" s="320" t="s">
        <v>272</v>
      </c>
    </row>
    <row r="88" spans="1:28" s="20" customFormat="1" x14ac:dyDescent="0.3">
      <c r="A88" s="429">
        <v>44282</v>
      </c>
      <c r="B88" s="40">
        <v>-1.4</v>
      </c>
      <c r="C88" s="14">
        <v>16.899999999999999</v>
      </c>
      <c r="D88" s="14">
        <v>9.4</v>
      </c>
      <c r="E88" s="14">
        <v>17.100000000000001</v>
      </c>
      <c r="F88" s="14">
        <v>-3</v>
      </c>
      <c r="G88" s="76">
        <f t="shared" si="4"/>
        <v>20.100000000000001</v>
      </c>
      <c r="H88" s="76">
        <f t="shared" si="5"/>
        <v>8.5749999999999993</v>
      </c>
      <c r="I88" s="78">
        <v>8.2022916666666745</v>
      </c>
      <c r="J88" s="14">
        <v>5.8</v>
      </c>
      <c r="K88" s="14">
        <v>-4.2</v>
      </c>
      <c r="L88" s="78">
        <v>1.5947916666666664</v>
      </c>
      <c r="M88" s="84">
        <v>93.3</v>
      </c>
      <c r="N88" s="24">
        <v>41.5</v>
      </c>
      <c r="O88" s="80">
        <v>66.469236111111186</v>
      </c>
      <c r="P88" s="117">
        <v>1024.7944861774299</v>
      </c>
      <c r="Q88" s="21">
        <v>1019.9066495677</v>
      </c>
      <c r="R88" s="66">
        <v>1022.406892551145</v>
      </c>
      <c r="S88" s="71">
        <v>10.200025352007668</v>
      </c>
      <c r="T88" s="61">
        <v>7.492875766285735</v>
      </c>
      <c r="U88" s="25">
        <v>2.4183815068821457</v>
      </c>
      <c r="V88" s="218" t="s">
        <v>232</v>
      </c>
      <c r="W88" s="247" t="s">
        <v>213</v>
      </c>
      <c r="X88" s="26">
        <v>8.4</v>
      </c>
      <c r="Y88" s="27">
        <v>11</v>
      </c>
      <c r="Z88" s="28">
        <v>0</v>
      </c>
      <c r="AA88" s="29">
        <v>0</v>
      </c>
      <c r="AB88" s="320" t="s">
        <v>287</v>
      </c>
    </row>
    <row r="89" spans="1:28" s="20" customFormat="1" x14ac:dyDescent="0.3">
      <c r="A89" s="429">
        <v>44283</v>
      </c>
      <c r="B89" s="40">
        <v>2.7</v>
      </c>
      <c r="C89" s="14">
        <v>12</v>
      </c>
      <c r="D89" s="14">
        <v>1.7</v>
      </c>
      <c r="E89" s="14">
        <v>12.9</v>
      </c>
      <c r="F89" s="14">
        <v>-1.2</v>
      </c>
      <c r="G89" s="76">
        <f t="shared" si="4"/>
        <v>14.1</v>
      </c>
      <c r="H89" s="76">
        <f t="shared" si="5"/>
        <v>4.5249999999999995</v>
      </c>
      <c r="I89" s="78">
        <v>6.4697101449275332</v>
      </c>
      <c r="J89" s="14">
        <v>5.4</v>
      </c>
      <c r="K89" s="14">
        <v>-3.1</v>
      </c>
      <c r="L89" s="78">
        <v>1.640507246376812</v>
      </c>
      <c r="M89" s="84">
        <v>92.7</v>
      </c>
      <c r="N89" s="24">
        <v>43.4</v>
      </c>
      <c r="O89" s="80">
        <v>73.224492753623153</v>
      </c>
      <c r="P89" s="117">
        <v>1032.8932009841999</v>
      </c>
      <c r="Q89" s="21">
        <v>1024.80291947264</v>
      </c>
      <c r="R89" s="66">
        <v>1029.4716076262321</v>
      </c>
      <c r="S89" s="71">
        <v>8.5000211266730545</v>
      </c>
      <c r="T89" s="61">
        <v>5.4285849212365687</v>
      </c>
      <c r="U89" s="25">
        <v>1.6481067749157148</v>
      </c>
      <c r="V89" s="218" t="s">
        <v>238</v>
      </c>
      <c r="W89" s="247"/>
      <c r="X89" s="26">
        <v>0</v>
      </c>
      <c r="Y89" s="27">
        <v>0</v>
      </c>
      <c r="Z89" s="28">
        <v>0</v>
      </c>
      <c r="AA89" s="29">
        <v>0</v>
      </c>
      <c r="AB89" s="320" t="s">
        <v>289</v>
      </c>
    </row>
    <row r="90" spans="1:28" s="20" customFormat="1" x14ac:dyDescent="0.3">
      <c r="A90" s="429">
        <v>44284</v>
      </c>
      <c r="B90" s="40">
        <v>-0.2</v>
      </c>
      <c r="C90" s="14">
        <v>13.4</v>
      </c>
      <c r="D90" s="14">
        <v>6.2</v>
      </c>
      <c r="E90" s="14">
        <v>14.2</v>
      </c>
      <c r="F90" s="14">
        <v>-2.5</v>
      </c>
      <c r="G90" s="76">
        <f t="shared" si="4"/>
        <v>16.7</v>
      </c>
      <c r="H90" s="76">
        <f t="shared" si="5"/>
        <v>6.4</v>
      </c>
      <c r="I90" s="78">
        <v>5.6142361111111194</v>
      </c>
      <c r="J90" s="14">
        <v>4.9000000000000004</v>
      </c>
      <c r="K90" s="14">
        <v>-3.9</v>
      </c>
      <c r="L90" s="78">
        <v>0.58291666666666908</v>
      </c>
      <c r="M90" s="84">
        <v>91.3</v>
      </c>
      <c r="N90" s="24">
        <v>45.7</v>
      </c>
      <c r="O90" s="80">
        <v>72.45118055555568</v>
      </c>
      <c r="P90" s="117">
        <v>1033.5846676414201</v>
      </c>
      <c r="Q90" s="21">
        <v>1030.3376722568901</v>
      </c>
      <c r="R90" s="66">
        <v>1032.037420382766</v>
      </c>
      <c r="S90" s="71">
        <v>3.4000084506692221</v>
      </c>
      <c r="T90" s="61">
        <v>2.3071485915255416</v>
      </c>
      <c r="U90" s="25">
        <v>0.69825322359299058</v>
      </c>
      <c r="V90" s="218" t="s">
        <v>233</v>
      </c>
      <c r="W90" s="247" t="s">
        <v>213</v>
      </c>
      <c r="X90" s="26">
        <v>1.2</v>
      </c>
      <c r="Y90" s="27">
        <v>2.1</v>
      </c>
      <c r="Z90" s="28">
        <v>0</v>
      </c>
      <c r="AA90" s="29">
        <v>0</v>
      </c>
      <c r="AB90" s="320" t="s">
        <v>209</v>
      </c>
    </row>
    <row r="91" spans="1:28" s="20" customFormat="1" x14ac:dyDescent="0.3">
      <c r="A91" s="429">
        <v>44285</v>
      </c>
      <c r="B91" s="40">
        <v>5.8</v>
      </c>
      <c r="C91" s="14">
        <v>8.3000000000000007</v>
      </c>
      <c r="D91" s="14">
        <v>7.6</v>
      </c>
      <c r="E91" s="14">
        <v>8.9</v>
      </c>
      <c r="F91" s="14">
        <v>5.3</v>
      </c>
      <c r="G91" s="76">
        <f t="shared" si="4"/>
        <v>3.6000000000000005</v>
      </c>
      <c r="H91" s="76">
        <f t="shared" si="5"/>
        <v>7.3250000000000002</v>
      </c>
      <c r="I91" s="78">
        <v>7.0695833333333553</v>
      </c>
      <c r="J91" s="14">
        <v>7.7</v>
      </c>
      <c r="K91" s="14">
        <v>3.5</v>
      </c>
      <c r="L91" s="78">
        <v>5.8246527777777981</v>
      </c>
      <c r="M91" s="84">
        <v>94.6</v>
      </c>
      <c r="N91" s="24">
        <v>83.7</v>
      </c>
      <c r="O91" s="80">
        <v>91.767430555555379</v>
      </c>
      <c r="P91" s="117">
        <v>1032.38169283395</v>
      </c>
      <c r="Q91" s="21">
        <v>1028.93864534353</v>
      </c>
      <c r="R91" s="66">
        <v>1031.0039018372804</v>
      </c>
      <c r="S91" s="71">
        <v>2.0000049709818946</v>
      </c>
      <c r="T91" s="61">
        <v>1.1696457642795888</v>
      </c>
      <c r="U91" s="25">
        <v>0.31985446562832259</v>
      </c>
      <c r="V91" s="218" t="s">
        <v>237</v>
      </c>
      <c r="W91" s="247" t="s">
        <v>213</v>
      </c>
      <c r="X91" s="26">
        <v>3.6</v>
      </c>
      <c r="Y91" s="27">
        <v>2.2999999999999998</v>
      </c>
      <c r="Z91" s="28">
        <v>0</v>
      </c>
      <c r="AA91" s="29">
        <v>0</v>
      </c>
      <c r="AB91" s="320" t="s">
        <v>212</v>
      </c>
    </row>
    <row r="92" spans="1:28" s="315" customFormat="1" ht="15" thickBot="1" x14ac:dyDescent="0.35">
      <c r="A92" s="430">
        <v>44286</v>
      </c>
      <c r="B92" s="41">
        <v>7.9</v>
      </c>
      <c r="C92" s="22">
        <v>20.6</v>
      </c>
      <c r="D92" s="22">
        <v>10.1</v>
      </c>
      <c r="E92" s="22">
        <v>21.7</v>
      </c>
      <c r="F92" s="22">
        <v>7.3</v>
      </c>
      <c r="G92" s="22">
        <f>E92-F92</f>
        <v>14.399999999999999</v>
      </c>
      <c r="H92" s="22">
        <f>(B92+C92+2*D92)/4</f>
        <v>12.175000000000001</v>
      </c>
      <c r="I92" s="79">
        <v>12.353819444444449</v>
      </c>
      <c r="J92" s="22">
        <v>14.3</v>
      </c>
      <c r="K92" s="22">
        <v>6.5</v>
      </c>
      <c r="L92" s="79">
        <v>9.2379166666666404</v>
      </c>
      <c r="M92" s="85">
        <v>96.5</v>
      </c>
      <c r="N92" s="67">
        <v>55.7</v>
      </c>
      <c r="O92" s="81">
        <v>82.965972222222106</v>
      </c>
      <c r="P92" s="118">
        <v>1028.9689656947601</v>
      </c>
      <c r="Q92" s="68">
        <v>1020.56488043677</v>
      </c>
      <c r="R92" s="69">
        <v>1024.6589105459209</v>
      </c>
      <c r="S92" s="73">
        <v>4.1000101905128883</v>
      </c>
      <c r="T92" s="63">
        <v>2.8196498653396525</v>
      </c>
      <c r="U92" s="42">
        <v>0.726706915345954</v>
      </c>
      <c r="V92" s="222" t="s">
        <v>234</v>
      </c>
      <c r="W92" s="248"/>
      <c r="X92" s="44">
        <v>0</v>
      </c>
      <c r="Y92" s="45">
        <v>0</v>
      </c>
      <c r="Z92" s="46">
        <v>0</v>
      </c>
      <c r="AA92" s="47">
        <v>0</v>
      </c>
      <c r="AB92" s="321" t="s">
        <v>291</v>
      </c>
    </row>
    <row r="93" spans="1:28" s="417" customFormat="1" x14ac:dyDescent="0.3">
      <c r="A93" s="428">
        <v>44287</v>
      </c>
      <c r="B93" s="400">
        <v>6.8</v>
      </c>
      <c r="C93" s="401">
        <v>20.5</v>
      </c>
      <c r="D93" s="401">
        <v>11.4</v>
      </c>
      <c r="E93" s="401">
        <v>21.4</v>
      </c>
      <c r="F93" s="401">
        <v>5.6</v>
      </c>
      <c r="G93" s="402">
        <f>E93-F93</f>
        <v>15.799999999999999</v>
      </c>
      <c r="H93" s="402">
        <f>(B93+C93+2*D93)/4</f>
        <v>12.525</v>
      </c>
      <c r="I93" s="403">
        <v>12.267832167832163</v>
      </c>
      <c r="J93" s="401">
        <v>13.1</v>
      </c>
      <c r="K93" s="401">
        <v>4.5999999999999996</v>
      </c>
      <c r="L93" s="403">
        <v>9.1909090909091251</v>
      </c>
      <c r="M93" s="404">
        <v>95.6</v>
      </c>
      <c r="N93" s="405">
        <v>56.6</v>
      </c>
      <c r="O93" s="406">
        <v>82.926783216783292</v>
      </c>
      <c r="P93" s="407">
        <v>1021.13737545301</v>
      </c>
      <c r="Q93" s="408">
        <v>1010.38917728921</v>
      </c>
      <c r="R93" s="409">
        <v>1015.4437268044045</v>
      </c>
      <c r="S93" s="372">
        <v>7.8000193868293888</v>
      </c>
      <c r="T93" s="373">
        <v>5.4098348746336251</v>
      </c>
      <c r="U93" s="373">
        <v>1.6408716018413534</v>
      </c>
      <c r="V93" s="374" t="s">
        <v>242</v>
      </c>
      <c r="W93" s="411" t="s">
        <v>213</v>
      </c>
      <c r="X93" s="412">
        <v>8.4</v>
      </c>
      <c r="Y93" s="413">
        <v>6.6</v>
      </c>
      <c r="Z93" s="414">
        <v>0</v>
      </c>
      <c r="AA93" s="415">
        <v>0</v>
      </c>
      <c r="AB93" s="416" t="s">
        <v>305</v>
      </c>
    </row>
    <row r="94" spans="1:28" s="20" customFormat="1" x14ac:dyDescent="0.3">
      <c r="A94" s="429">
        <v>44288</v>
      </c>
      <c r="B94" s="40">
        <v>9.3000000000000007</v>
      </c>
      <c r="C94" s="14">
        <v>11.7</v>
      </c>
      <c r="D94" s="14">
        <v>3.8</v>
      </c>
      <c r="E94" s="14">
        <v>12.8</v>
      </c>
      <c r="F94" s="14">
        <v>0.7</v>
      </c>
      <c r="G94" s="76">
        <f>E94-F94</f>
        <v>12.100000000000001</v>
      </c>
      <c r="H94" s="76">
        <f>(B94+C94+2*D94)/4</f>
        <v>7.15</v>
      </c>
      <c r="I94" s="78">
        <v>8.4159027777777773</v>
      </c>
      <c r="J94" s="14">
        <v>9.6999999999999993</v>
      </c>
      <c r="K94" s="14">
        <v>-1.2</v>
      </c>
      <c r="L94" s="78">
        <v>5.2154861111110984</v>
      </c>
      <c r="M94" s="84">
        <v>95.4</v>
      </c>
      <c r="N94" s="24">
        <v>51.4</v>
      </c>
      <c r="O94" s="80">
        <v>81.229305555555598</v>
      </c>
      <c r="P94" s="117">
        <v>1015.37913081288</v>
      </c>
      <c r="Q94" s="21">
        <v>1010.31428482289</v>
      </c>
      <c r="R94" s="66">
        <v>1012.6469866751777</v>
      </c>
      <c r="S94" s="71">
        <v>9.500023612164</v>
      </c>
      <c r="T94" s="61">
        <v>6.0857294117020411</v>
      </c>
      <c r="U94" s="25">
        <v>2.0336732094256926</v>
      </c>
      <c r="V94" s="218" t="s">
        <v>238</v>
      </c>
      <c r="W94" s="219" t="s">
        <v>213</v>
      </c>
      <c r="X94" s="16">
        <v>1.2</v>
      </c>
      <c r="Y94" s="17">
        <v>0.2</v>
      </c>
      <c r="Z94" s="18">
        <v>0</v>
      </c>
      <c r="AA94" s="43">
        <v>0</v>
      </c>
      <c r="AB94" s="319" t="s">
        <v>291</v>
      </c>
    </row>
    <row r="95" spans="1:28" s="20" customFormat="1" x14ac:dyDescent="0.3">
      <c r="A95" s="429">
        <v>44289</v>
      </c>
      <c r="B95" s="40">
        <v>1</v>
      </c>
      <c r="C95" s="14">
        <v>10.199999999999999</v>
      </c>
      <c r="D95" s="14">
        <v>3.7</v>
      </c>
      <c r="E95" s="14">
        <v>13.3</v>
      </c>
      <c r="F95" s="14">
        <v>-0.9</v>
      </c>
      <c r="G95" s="76">
        <f t="shared" ref="G95:G120" si="6">E95-F95</f>
        <v>14.200000000000001</v>
      </c>
      <c r="H95" s="76">
        <f t="shared" ref="H95:H121" si="7">(B95+C95+2*D95)/4</f>
        <v>4.6500000000000004</v>
      </c>
      <c r="I95" s="78">
        <v>5.0555555555555607</v>
      </c>
      <c r="J95" s="14">
        <v>5.8</v>
      </c>
      <c r="K95" s="14">
        <v>-2.2999999999999998</v>
      </c>
      <c r="L95" s="78">
        <v>0.86722222222222256</v>
      </c>
      <c r="M95" s="84">
        <v>94.5</v>
      </c>
      <c r="N95" s="24">
        <v>46.9</v>
      </c>
      <c r="O95" s="80">
        <v>76.152847222222249</v>
      </c>
      <c r="P95" s="117">
        <v>1017.8273922900501</v>
      </c>
      <c r="Q95" s="21">
        <v>1011.51219880186</v>
      </c>
      <c r="R95" s="66">
        <v>1013.4427940216598</v>
      </c>
      <c r="S95" s="71">
        <v>10.500026097654944</v>
      </c>
      <c r="T95" s="61">
        <v>5.7901929628649862</v>
      </c>
      <c r="U95" s="25">
        <v>1.965419071527104</v>
      </c>
      <c r="V95" s="218" t="s">
        <v>240</v>
      </c>
      <c r="W95" s="219" t="s">
        <v>224</v>
      </c>
      <c r="X95" s="16">
        <v>0</v>
      </c>
      <c r="Y95" s="17">
        <v>0</v>
      </c>
      <c r="Z95" s="18">
        <v>0</v>
      </c>
      <c r="AA95" s="43">
        <v>0</v>
      </c>
      <c r="AB95" s="319" t="s">
        <v>307</v>
      </c>
    </row>
    <row r="96" spans="1:28" s="20" customFormat="1" x14ac:dyDescent="0.3">
      <c r="A96" s="429">
        <v>44290</v>
      </c>
      <c r="B96" s="40">
        <v>0.5</v>
      </c>
      <c r="C96" s="14">
        <v>7</v>
      </c>
      <c r="D96" s="14">
        <v>-0.2</v>
      </c>
      <c r="E96" s="14">
        <v>8.5</v>
      </c>
      <c r="F96" s="14">
        <v>-2.6</v>
      </c>
      <c r="G96" s="76">
        <f t="shared" si="6"/>
        <v>11.1</v>
      </c>
      <c r="H96" s="76">
        <f t="shared" si="7"/>
        <v>1.7749999999999999</v>
      </c>
      <c r="I96" s="78">
        <v>3.0032638888888887</v>
      </c>
      <c r="J96" s="14">
        <v>2.7</v>
      </c>
      <c r="K96" s="14">
        <v>-4.5</v>
      </c>
      <c r="L96" s="78">
        <v>-1.1502083333333348</v>
      </c>
      <c r="M96" s="84">
        <v>91.2</v>
      </c>
      <c r="N96" s="24">
        <v>53.2</v>
      </c>
      <c r="O96" s="80">
        <v>75.263263888888815</v>
      </c>
      <c r="P96" s="117">
        <v>1020.2631769854599</v>
      </c>
      <c r="Q96" s="21">
        <v>1016.87517490901</v>
      </c>
      <c r="R96" s="66">
        <v>1018.7212242837118</v>
      </c>
      <c r="S96" s="72">
        <v>7.8000193868293888</v>
      </c>
      <c r="T96" s="62">
        <v>4.6285829328438197</v>
      </c>
      <c r="U96" s="19">
        <v>1.7021268331235473</v>
      </c>
      <c r="V96" s="218" t="s">
        <v>240</v>
      </c>
      <c r="W96" s="220" t="s">
        <v>220</v>
      </c>
      <c r="X96" s="16">
        <v>0</v>
      </c>
      <c r="Y96" s="17">
        <v>0</v>
      </c>
      <c r="Z96" s="18">
        <v>0</v>
      </c>
      <c r="AA96" s="43">
        <v>0</v>
      </c>
      <c r="AB96" s="319" t="s">
        <v>308</v>
      </c>
    </row>
    <row r="97" spans="1:28" s="20" customFormat="1" x14ac:dyDescent="0.3">
      <c r="A97" s="429">
        <v>44291</v>
      </c>
      <c r="B97" s="40">
        <v>-1.8</v>
      </c>
      <c r="C97" s="14">
        <v>12.6</v>
      </c>
      <c r="D97" s="14">
        <v>10.4</v>
      </c>
      <c r="E97" s="14">
        <v>13.8</v>
      </c>
      <c r="F97" s="14">
        <v>-5.5</v>
      </c>
      <c r="G97" s="76">
        <f t="shared" si="6"/>
        <v>19.3</v>
      </c>
      <c r="H97" s="76">
        <f t="shared" si="7"/>
        <v>7.9</v>
      </c>
      <c r="I97" s="78">
        <v>5.4722222222222134</v>
      </c>
      <c r="J97" s="14">
        <v>1.6</v>
      </c>
      <c r="K97" s="14">
        <v>-6.8</v>
      </c>
      <c r="L97" s="78">
        <v>-2.0233333333333379</v>
      </c>
      <c r="M97" s="84">
        <v>92.7</v>
      </c>
      <c r="N97" s="24">
        <v>40.6</v>
      </c>
      <c r="O97" s="80">
        <v>62.331805555555519</v>
      </c>
      <c r="P97" s="117">
        <v>1016.73978329616</v>
      </c>
      <c r="Q97" s="21">
        <v>1000.19425528908</v>
      </c>
      <c r="R97" s="66">
        <v>1007.6755173476644</v>
      </c>
      <c r="S97" s="71">
        <v>14.300035542520526</v>
      </c>
      <c r="T97" s="61">
        <v>9.564309486231263</v>
      </c>
      <c r="U97" s="25">
        <v>4.2939818201131876</v>
      </c>
      <c r="V97" s="218" t="s">
        <v>232</v>
      </c>
      <c r="W97" s="220" t="s">
        <v>215</v>
      </c>
      <c r="X97" s="16">
        <v>1.2</v>
      </c>
      <c r="Y97" s="17">
        <v>4.4000000000000004</v>
      </c>
      <c r="Z97" s="18">
        <v>0</v>
      </c>
      <c r="AA97" s="43">
        <v>0</v>
      </c>
      <c r="AB97" s="319" t="s">
        <v>309</v>
      </c>
    </row>
    <row r="98" spans="1:28" s="20" customFormat="1" x14ac:dyDescent="0.3">
      <c r="A98" s="429">
        <v>44292</v>
      </c>
      <c r="B98" s="40">
        <v>-0.1</v>
      </c>
      <c r="C98" s="14">
        <v>4.0999999999999996</v>
      </c>
      <c r="D98" s="14">
        <v>-1.1000000000000001</v>
      </c>
      <c r="E98" s="14">
        <v>9.4</v>
      </c>
      <c r="F98" s="14">
        <v>-3.3</v>
      </c>
      <c r="G98" s="76">
        <f t="shared" si="6"/>
        <v>12.7</v>
      </c>
      <c r="H98" s="76">
        <f t="shared" si="7"/>
        <v>0.44999999999999984</v>
      </c>
      <c r="I98" s="78">
        <v>2.4920138888888963</v>
      </c>
      <c r="J98" s="14">
        <v>1.2</v>
      </c>
      <c r="K98" s="14">
        <v>-5.2</v>
      </c>
      <c r="L98" s="78">
        <v>-1.5836111111111086</v>
      </c>
      <c r="M98" s="84">
        <v>89.9</v>
      </c>
      <c r="N98" s="24">
        <v>48</v>
      </c>
      <c r="O98" s="80">
        <v>75.509027777777675</v>
      </c>
      <c r="P98" s="117">
        <v>1006.8044310092901</v>
      </c>
      <c r="Q98" s="21">
        <v>1000.22083014617</v>
      </c>
      <c r="R98" s="66">
        <v>1004.8661030849754</v>
      </c>
      <c r="S98" s="71">
        <v>9.9000246063603612</v>
      </c>
      <c r="T98" s="61">
        <v>5.7375142605043052</v>
      </c>
      <c r="U98" s="25">
        <v>1.8959558532424134</v>
      </c>
      <c r="V98" s="218" t="s">
        <v>233</v>
      </c>
      <c r="W98" s="220" t="s">
        <v>216</v>
      </c>
      <c r="X98" s="16">
        <v>1.2</v>
      </c>
      <c r="Y98" s="17">
        <v>0.4</v>
      </c>
      <c r="Z98" s="18">
        <v>3</v>
      </c>
      <c r="AA98" s="43">
        <v>3</v>
      </c>
      <c r="AB98" s="319" t="s">
        <v>219</v>
      </c>
    </row>
    <row r="99" spans="1:28" s="20" customFormat="1" x14ac:dyDescent="0.3">
      <c r="A99" s="429">
        <v>44293</v>
      </c>
      <c r="B99" s="40">
        <v>-2.1</v>
      </c>
      <c r="C99" s="14">
        <v>4.5999999999999996</v>
      </c>
      <c r="D99" s="14">
        <v>-1.5</v>
      </c>
      <c r="E99" s="14">
        <v>8.6999999999999993</v>
      </c>
      <c r="F99" s="14">
        <v>-6.3</v>
      </c>
      <c r="G99" s="76">
        <f t="shared" si="6"/>
        <v>15</v>
      </c>
      <c r="H99" s="76">
        <f t="shared" si="7"/>
        <v>-0.12500000000000011</v>
      </c>
      <c r="I99" s="78">
        <v>0.31388888888889216</v>
      </c>
      <c r="J99" s="14">
        <v>2</v>
      </c>
      <c r="K99" s="14">
        <v>-7.7</v>
      </c>
      <c r="L99" s="78">
        <v>-3.708055555555549</v>
      </c>
      <c r="M99" s="84">
        <v>91.6</v>
      </c>
      <c r="N99" s="24">
        <v>43.8</v>
      </c>
      <c r="O99" s="80">
        <v>75.840000000000018</v>
      </c>
      <c r="P99" s="117">
        <v>1014.64923771266</v>
      </c>
      <c r="Q99" s="21">
        <v>1005.80345035443</v>
      </c>
      <c r="R99" s="66">
        <v>1009.0647384314458</v>
      </c>
      <c r="S99" s="71">
        <v>11.600028831694972</v>
      </c>
      <c r="T99" s="61">
        <v>5.5357280446820276</v>
      </c>
      <c r="U99" s="25">
        <v>1.2100910532978029</v>
      </c>
      <c r="V99" s="218" t="s">
        <v>240</v>
      </c>
      <c r="W99" s="220" t="s">
        <v>216</v>
      </c>
      <c r="X99" s="16">
        <v>1.2</v>
      </c>
      <c r="Y99" s="17">
        <v>0.3</v>
      </c>
      <c r="Z99" s="18">
        <v>0</v>
      </c>
      <c r="AA99" s="43">
        <v>0</v>
      </c>
      <c r="AB99" s="319" t="s">
        <v>315</v>
      </c>
    </row>
    <row r="100" spans="1:28" s="20" customFormat="1" x14ac:dyDescent="0.3">
      <c r="A100" s="429">
        <v>44294</v>
      </c>
      <c r="B100" s="40">
        <v>-0.4</v>
      </c>
      <c r="C100" s="14">
        <v>7.4</v>
      </c>
      <c r="D100" s="14">
        <v>-0.4</v>
      </c>
      <c r="E100" s="14">
        <v>9.8000000000000007</v>
      </c>
      <c r="F100" s="14">
        <v>-5.4</v>
      </c>
      <c r="G100" s="76">
        <f t="shared" si="6"/>
        <v>15.200000000000001</v>
      </c>
      <c r="H100" s="76">
        <f t="shared" si="7"/>
        <v>1.55</v>
      </c>
      <c r="I100" s="78">
        <v>1.1131249999999977</v>
      </c>
      <c r="J100" s="14">
        <v>1.5</v>
      </c>
      <c r="K100" s="14">
        <v>-6.8</v>
      </c>
      <c r="L100" s="78">
        <v>-2.9246527777777702</v>
      </c>
      <c r="M100" s="84">
        <v>93.8</v>
      </c>
      <c r="N100" s="24">
        <v>50.8</v>
      </c>
      <c r="O100" s="80">
        <v>75.79840277777781</v>
      </c>
      <c r="P100" s="117">
        <v>1026.0578381812099</v>
      </c>
      <c r="Q100" s="21">
        <v>1014.6385088372</v>
      </c>
      <c r="R100" s="66">
        <v>1018.849100668715</v>
      </c>
      <c r="S100" s="71">
        <v>6.1000151614947775</v>
      </c>
      <c r="T100" s="61">
        <v>3.5812589011644445</v>
      </c>
      <c r="U100" s="25">
        <v>1.3408329457151027</v>
      </c>
      <c r="V100" s="218" t="s">
        <v>236</v>
      </c>
      <c r="W100" s="220" t="s">
        <v>216</v>
      </c>
      <c r="X100" s="16">
        <v>1.2</v>
      </c>
      <c r="Y100" s="17">
        <v>0.1</v>
      </c>
      <c r="Z100" s="18">
        <v>0</v>
      </c>
      <c r="AA100" s="43">
        <v>0</v>
      </c>
      <c r="AB100" s="319" t="s">
        <v>308</v>
      </c>
    </row>
    <row r="101" spans="1:28" s="20" customFormat="1" x14ac:dyDescent="0.3">
      <c r="A101" s="429">
        <v>44295</v>
      </c>
      <c r="B101" s="40">
        <v>-1</v>
      </c>
      <c r="C101" s="14">
        <v>8.8000000000000007</v>
      </c>
      <c r="D101" s="14">
        <v>8</v>
      </c>
      <c r="E101" s="14">
        <v>10.199999999999999</v>
      </c>
      <c r="F101" s="14">
        <v>-5.4</v>
      </c>
      <c r="G101" s="76">
        <f t="shared" si="6"/>
        <v>15.6</v>
      </c>
      <c r="H101" s="76">
        <f t="shared" si="7"/>
        <v>5.95</v>
      </c>
      <c r="I101" s="78">
        <v>3.5481249999999984</v>
      </c>
      <c r="J101" s="14">
        <v>2.2000000000000002</v>
      </c>
      <c r="K101" s="14">
        <v>-6.7</v>
      </c>
      <c r="L101" s="78">
        <v>-2.0618749999999988</v>
      </c>
      <c r="M101" s="84">
        <v>92.7</v>
      </c>
      <c r="N101" s="24">
        <v>47.3</v>
      </c>
      <c r="O101" s="80">
        <v>69.384513888888861</v>
      </c>
      <c r="P101" s="117">
        <v>1028.1607879256501</v>
      </c>
      <c r="Q101" s="21">
        <v>1021.59110092125</v>
      </c>
      <c r="R101" s="66">
        <v>1025.1721960747043</v>
      </c>
      <c r="S101" s="71">
        <v>13.300033057029582</v>
      </c>
      <c r="T101" s="61">
        <v>8.6571643743930551</v>
      </c>
      <c r="U101" s="25">
        <v>3.5470202247949016</v>
      </c>
      <c r="V101" s="218" t="s">
        <v>232</v>
      </c>
      <c r="W101" s="220"/>
      <c r="X101" s="16">
        <v>0</v>
      </c>
      <c r="Y101" s="17">
        <v>0</v>
      </c>
      <c r="Z101" s="18">
        <v>0</v>
      </c>
      <c r="AA101" s="43">
        <v>0</v>
      </c>
      <c r="AB101" s="319" t="s">
        <v>291</v>
      </c>
    </row>
    <row r="102" spans="1:28" s="20" customFormat="1" x14ac:dyDescent="0.3">
      <c r="A102" s="429">
        <v>44296</v>
      </c>
      <c r="B102" s="40">
        <v>5.3</v>
      </c>
      <c r="C102" s="14">
        <v>16</v>
      </c>
      <c r="D102" s="14">
        <v>5.8</v>
      </c>
      <c r="E102" s="14">
        <v>16.8</v>
      </c>
      <c r="F102" s="14">
        <v>-1.1000000000000001</v>
      </c>
      <c r="G102" s="76">
        <f t="shared" si="6"/>
        <v>17.900000000000002</v>
      </c>
      <c r="H102" s="76">
        <f t="shared" si="7"/>
        <v>8.2249999999999996</v>
      </c>
      <c r="I102" s="78">
        <v>8.4950694444444448</v>
      </c>
      <c r="J102" s="14">
        <v>3.3</v>
      </c>
      <c r="K102" s="14">
        <v>-4.4000000000000004</v>
      </c>
      <c r="L102" s="78">
        <v>-0.19833333333333319</v>
      </c>
      <c r="M102" s="84">
        <v>83.5</v>
      </c>
      <c r="N102" s="24">
        <v>34.5</v>
      </c>
      <c r="O102" s="80">
        <v>56.218888888888799</v>
      </c>
      <c r="P102" s="117">
        <v>1021.87375162143</v>
      </c>
      <c r="Q102" s="21">
        <v>1018.51162268634</v>
      </c>
      <c r="R102" s="66">
        <v>1020.5473340907249</v>
      </c>
      <c r="S102" s="71">
        <v>10.900027091851305</v>
      </c>
      <c r="T102" s="61">
        <v>6.4357302816238757</v>
      </c>
      <c r="U102" s="25">
        <v>2.8884062366293923</v>
      </c>
      <c r="V102" s="218" t="s">
        <v>232</v>
      </c>
      <c r="W102" s="220"/>
      <c r="X102" s="16">
        <v>0</v>
      </c>
      <c r="Y102" s="17">
        <v>0</v>
      </c>
      <c r="Z102" s="18">
        <v>0</v>
      </c>
      <c r="AA102" s="43">
        <v>0</v>
      </c>
      <c r="AB102" s="319" t="s">
        <v>316</v>
      </c>
    </row>
    <row r="103" spans="1:28" s="20" customFormat="1" ht="43.2" x14ac:dyDescent="0.3">
      <c r="A103" s="429">
        <v>44297</v>
      </c>
      <c r="B103" s="40">
        <v>4.8</v>
      </c>
      <c r="C103" s="14">
        <v>18.600000000000001</v>
      </c>
      <c r="D103" s="14">
        <v>15</v>
      </c>
      <c r="E103" s="14">
        <v>19.399999999999999</v>
      </c>
      <c r="F103" s="14">
        <v>-0.8</v>
      </c>
      <c r="G103" s="76">
        <f t="shared" si="6"/>
        <v>20.2</v>
      </c>
      <c r="H103" s="76">
        <f t="shared" si="7"/>
        <v>13.350000000000001</v>
      </c>
      <c r="I103" s="78">
        <v>10.660041987403766</v>
      </c>
      <c r="J103" s="14">
        <v>6.6</v>
      </c>
      <c r="K103" s="14">
        <v>-2.1</v>
      </c>
      <c r="L103" s="78">
        <v>2.3642407277816666</v>
      </c>
      <c r="M103" s="84">
        <v>93.1</v>
      </c>
      <c r="N103" s="24">
        <v>35.4</v>
      </c>
      <c r="O103" s="80">
        <v>60.443526941917526</v>
      </c>
      <c r="P103" s="117">
        <v>1021.77656041399</v>
      </c>
      <c r="Q103" s="21">
        <v>1017.60373593934</v>
      </c>
      <c r="R103" s="66">
        <v>1019.7703179795509</v>
      </c>
      <c r="S103" s="71">
        <v>12.200030322989555</v>
      </c>
      <c r="T103" s="61">
        <v>7.6214475144202911</v>
      </c>
      <c r="U103" s="25">
        <v>3.2544599738313331</v>
      </c>
      <c r="V103" s="218" t="s">
        <v>232</v>
      </c>
      <c r="W103" s="220"/>
      <c r="X103" s="16">
        <v>0</v>
      </c>
      <c r="Y103" s="17">
        <v>0</v>
      </c>
      <c r="Z103" s="18">
        <v>0</v>
      </c>
      <c r="AA103" s="43">
        <v>0</v>
      </c>
      <c r="AB103" s="319" t="s">
        <v>317</v>
      </c>
    </row>
    <row r="104" spans="1:28" s="20" customFormat="1" x14ac:dyDescent="0.3">
      <c r="A104" s="429">
        <v>44298</v>
      </c>
      <c r="B104" s="40">
        <v>12.7</v>
      </c>
      <c r="C104" s="14">
        <v>19.899999999999999</v>
      </c>
      <c r="D104" s="14">
        <v>13.3</v>
      </c>
      <c r="E104" s="14">
        <v>20.399999999999999</v>
      </c>
      <c r="F104" s="14">
        <v>10.7</v>
      </c>
      <c r="G104" s="76">
        <f t="shared" si="6"/>
        <v>9.6999999999999993</v>
      </c>
      <c r="H104" s="76">
        <f t="shared" si="7"/>
        <v>14.799999999999999</v>
      </c>
      <c r="I104" s="78">
        <v>15.308472222222187</v>
      </c>
      <c r="J104" s="14">
        <v>9.1</v>
      </c>
      <c r="K104" s="14">
        <v>4.5</v>
      </c>
      <c r="L104" s="78">
        <v>6.7532638888888803</v>
      </c>
      <c r="M104" s="84">
        <v>85.5</v>
      </c>
      <c r="N104" s="24">
        <v>43.5</v>
      </c>
      <c r="O104" s="80">
        <v>57.396458333333371</v>
      </c>
      <c r="P104" s="117">
        <v>1018.77111659394</v>
      </c>
      <c r="Q104" s="21">
        <v>1014.87585644645</v>
      </c>
      <c r="R104" s="66">
        <v>1016.8430106536606</v>
      </c>
      <c r="S104" s="71">
        <v>9.9000246063603612</v>
      </c>
      <c r="T104" s="61">
        <v>6.3964444696938747</v>
      </c>
      <c r="U104" s="25">
        <v>2.8869057368681736</v>
      </c>
      <c r="V104" s="218" t="s">
        <v>231</v>
      </c>
      <c r="W104" s="220" t="s">
        <v>213</v>
      </c>
      <c r="X104" s="16">
        <v>8.4</v>
      </c>
      <c r="Y104" s="17">
        <v>3.4</v>
      </c>
      <c r="Z104" s="18">
        <v>0</v>
      </c>
      <c r="AA104" s="43">
        <v>0</v>
      </c>
      <c r="AB104" s="319" t="s">
        <v>211</v>
      </c>
    </row>
    <row r="105" spans="1:28" s="20" customFormat="1" x14ac:dyDescent="0.3">
      <c r="A105" s="429">
        <v>44299</v>
      </c>
      <c r="B105" s="40">
        <v>5.2</v>
      </c>
      <c r="C105" s="14">
        <v>4.8</v>
      </c>
      <c r="D105" s="14">
        <v>0.8</v>
      </c>
      <c r="E105" s="14">
        <v>11.2</v>
      </c>
      <c r="F105" s="14">
        <v>0.2</v>
      </c>
      <c r="G105" s="76">
        <f t="shared" si="6"/>
        <v>11</v>
      </c>
      <c r="H105" s="76">
        <f t="shared" si="7"/>
        <v>2.9</v>
      </c>
      <c r="I105" s="78">
        <v>4.7362499999999876</v>
      </c>
      <c r="J105" s="14">
        <v>8.9</v>
      </c>
      <c r="K105" s="14">
        <v>-0.9</v>
      </c>
      <c r="L105" s="78">
        <v>2.8304166666666628</v>
      </c>
      <c r="M105" s="84">
        <v>92.7</v>
      </c>
      <c r="N105" s="24">
        <v>80.599999999999994</v>
      </c>
      <c r="O105" s="80">
        <v>87.501250000000056</v>
      </c>
      <c r="P105" s="117">
        <v>1023.1546082047</v>
      </c>
      <c r="Q105" s="21">
        <v>1018.11714405987</v>
      </c>
      <c r="R105" s="66">
        <v>1020.6689392875334</v>
      </c>
      <c r="S105" s="71">
        <v>7.1000176469857221</v>
      </c>
      <c r="T105" s="61">
        <v>4.6857259320147229</v>
      </c>
      <c r="U105" s="25">
        <v>2.326989910682109</v>
      </c>
      <c r="V105" s="218" t="s">
        <v>240</v>
      </c>
      <c r="W105" s="313" t="s">
        <v>215</v>
      </c>
      <c r="X105" s="26">
        <v>4.8</v>
      </c>
      <c r="Y105" s="27">
        <v>22</v>
      </c>
      <c r="Z105" s="28">
        <v>0</v>
      </c>
      <c r="AA105" s="29">
        <v>0</v>
      </c>
      <c r="AB105" s="320" t="s">
        <v>212</v>
      </c>
    </row>
    <row r="106" spans="1:28" s="20" customFormat="1" ht="28.8" x14ac:dyDescent="0.3">
      <c r="A106" s="429">
        <v>44300</v>
      </c>
      <c r="B106" s="40">
        <v>1.1000000000000001</v>
      </c>
      <c r="C106" s="14">
        <v>4.9000000000000004</v>
      </c>
      <c r="D106" s="14">
        <v>2.5</v>
      </c>
      <c r="E106" s="14">
        <v>5.4</v>
      </c>
      <c r="F106" s="14">
        <v>0.2</v>
      </c>
      <c r="G106" s="76">
        <f t="shared" si="6"/>
        <v>5.2</v>
      </c>
      <c r="H106" s="76">
        <f t="shared" si="7"/>
        <v>2.75</v>
      </c>
      <c r="I106" s="78">
        <v>2.4574305555555545</v>
      </c>
      <c r="J106" s="14">
        <v>2.4</v>
      </c>
      <c r="K106" s="14">
        <v>-0.9</v>
      </c>
      <c r="L106" s="78">
        <v>0.29131944444444374</v>
      </c>
      <c r="M106" s="84">
        <v>93.7</v>
      </c>
      <c r="N106" s="24">
        <v>74.900000000000006</v>
      </c>
      <c r="O106" s="80">
        <v>85.86326388888871</v>
      </c>
      <c r="P106" s="117">
        <v>1019.5550824203</v>
      </c>
      <c r="Q106" s="21">
        <v>1017.81050017888</v>
      </c>
      <c r="R106" s="66">
        <v>1018.5949747600027</v>
      </c>
      <c r="S106" s="71">
        <v>10.200025352007668</v>
      </c>
      <c r="T106" s="61">
        <v>6.2660870028352367</v>
      </c>
      <c r="U106" s="25">
        <v>2.5464224997292604</v>
      </c>
      <c r="V106" s="218" t="s">
        <v>240</v>
      </c>
      <c r="W106" s="221" t="s">
        <v>215</v>
      </c>
      <c r="X106" s="26">
        <v>4.8</v>
      </c>
      <c r="Y106" s="27">
        <v>1.4</v>
      </c>
      <c r="Z106" s="28">
        <v>1.5</v>
      </c>
      <c r="AA106" s="29">
        <v>1.5</v>
      </c>
      <c r="AB106" s="320" t="s">
        <v>332</v>
      </c>
    </row>
    <row r="107" spans="1:28" s="20" customFormat="1" x14ac:dyDescent="0.3">
      <c r="A107" s="429">
        <v>44301</v>
      </c>
      <c r="B107" s="40">
        <v>2.6</v>
      </c>
      <c r="C107" s="14">
        <v>6.5</v>
      </c>
      <c r="D107" s="14">
        <v>2.9</v>
      </c>
      <c r="E107" s="14">
        <v>7</v>
      </c>
      <c r="F107" s="14">
        <v>1.4</v>
      </c>
      <c r="G107" s="76">
        <f t="shared" si="6"/>
        <v>5.6</v>
      </c>
      <c r="H107" s="76">
        <f t="shared" si="7"/>
        <v>3.7249999999999996</v>
      </c>
      <c r="I107" s="78">
        <v>3.8927777777777792</v>
      </c>
      <c r="J107" s="14">
        <v>4.7</v>
      </c>
      <c r="K107" s="14">
        <v>0</v>
      </c>
      <c r="L107" s="78">
        <v>1.7691666666666632</v>
      </c>
      <c r="M107" s="84">
        <v>90.7</v>
      </c>
      <c r="N107" s="24">
        <v>76.5</v>
      </c>
      <c r="O107" s="80">
        <v>86.065208333333374</v>
      </c>
      <c r="P107" s="117">
        <v>1018.87929463238</v>
      </c>
      <c r="Q107" s="21">
        <v>1017.55456426357</v>
      </c>
      <c r="R107" s="66">
        <v>1018.1636289623849</v>
      </c>
      <c r="S107" s="71">
        <v>5.4000134216511109</v>
      </c>
      <c r="T107" s="61">
        <v>3.0982219862978471</v>
      </c>
      <c r="U107" s="25">
        <v>1.0924340975034439</v>
      </c>
      <c r="V107" s="218" t="s">
        <v>238</v>
      </c>
      <c r="W107" s="221" t="s">
        <v>215</v>
      </c>
      <c r="X107" s="26">
        <v>1.2</v>
      </c>
      <c r="Y107" s="27">
        <v>2</v>
      </c>
      <c r="Z107" s="28">
        <v>0</v>
      </c>
      <c r="AA107" s="29">
        <v>0</v>
      </c>
      <c r="AB107" s="320" t="s">
        <v>212</v>
      </c>
    </row>
    <row r="108" spans="1:28" s="20" customFormat="1" x14ac:dyDescent="0.3">
      <c r="A108" s="429">
        <v>44302</v>
      </c>
      <c r="B108" s="40">
        <v>2.4</v>
      </c>
      <c r="C108" s="14">
        <v>4.3</v>
      </c>
      <c r="D108" s="14">
        <v>3.6</v>
      </c>
      <c r="E108" s="14">
        <v>4.7</v>
      </c>
      <c r="F108" s="14">
        <v>-0.2</v>
      </c>
      <c r="G108" s="76">
        <f t="shared" si="6"/>
        <v>4.9000000000000004</v>
      </c>
      <c r="H108" s="76">
        <f t="shared" si="7"/>
        <v>3.4749999999999996</v>
      </c>
      <c r="I108" s="78">
        <v>2.8844444444444388</v>
      </c>
      <c r="J108" s="14">
        <v>3.2</v>
      </c>
      <c r="K108" s="14">
        <v>-1.3</v>
      </c>
      <c r="L108" s="78">
        <v>1.5106250000000017</v>
      </c>
      <c r="M108" s="84">
        <v>94.6</v>
      </c>
      <c r="N108" s="24">
        <v>83.9</v>
      </c>
      <c r="O108" s="80">
        <v>90.697708333333338</v>
      </c>
      <c r="P108" s="117">
        <v>1019.33084670621</v>
      </c>
      <c r="Q108" s="21">
        <v>1017.03666636333</v>
      </c>
      <c r="R108" s="66">
        <v>1017.9284486309102</v>
      </c>
      <c r="S108" s="71">
        <v>5.1000126760038338</v>
      </c>
      <c r="T108" s="61">
        <v>3.1366149388658071</v>
      </c>
      <c r="U108" s="25">
        <v>1.0651770853121105</v>
      </c>
      <c r="V108" s="218" t="s">
        <v>242</v>
      </c>
      <c r="W108" s="221" t="s">
        <v>213</v>
      </c>
      <c r="X108" s="26">
        <v>4.8</v>
      </c>
      <c r="Y108" s="27">
        <v>7.7</v>
      </c>
      <c r="Z108" s="28">
        <v>0</v>
      </c>
      <c r="AA108" s="29">
        <v>0</v>
      </c>
      <c r="AB108" s="320" t="s">
        <v>212</v>
      </c>
    </row>
    <row r="109" spans="1:28" s="20" customFormat="1" x14ac:dyDescent="0.3">
      <c r="A109" s="429">
        <v>44303</v>
      </c>
      <c r="B109" s="40">
        <v>3.9</v>
      </c>
      <c r="C109" s="14">
        <v>9.1</v>
      </c>
      <c r="D109" s="14">
        <v>6</v>
      </c>
      <c r="E109" s="14">
        <v>9.6999999999999993</v>
      </c>
      <c r="F109" s="14">
        <v>3</v>
      </c>
      <c r="G109" s="76">
        <f t="shared" si="6"/>
        <v>6.6999999999999993</v>
      </c>
      <c r="H109" s="76">
        <f t="shared" si="7"/>
        <v>6.25</v>
      </c>
      <c r="I109" s="78">
        <v>5.5772916666666799</v>
      </c>
      <c r="J109" s="14">
        <v>6.2</v>
      </c>
      <c r="K109" s="14">
        <v>2.2000000000000002</v>
      </c>
      <c r="L109" s="78">
        <v>3.7792361111110995</v>
      </c>
      <c r="M109" s="84">
        <v>95.9</v>
      </c>
      <c r="N109" s="24">
        <v>74.599999999999994</v>
      </c>
      <c r="O109" s="80">
        <v>88.490138888888907</v>
      </c>
      <c r="P109" s="117">
        <v>1019.52176426523</v>
      </c>
      <c r="Q109" s="21">
        <v>1017.97646466641</v>
      </c>
      <c r="R109" s="66">
        <v>1018.8194063111902</v>
      </c>
      <c r="S109" s="71">
        <v>3.7000091963165</v>
      </c>
      <c r="T109" s="61">
        <v>2.3785773404891808</v>
      </c>
      <c r="U109" s="25">
        <v>0.93053926720625568</v>
      </c>
      <c r="V109" s="218" t="s">
        <v>236</v>
      </c>
      <c r="W109" s="221" t="s">
        <v>213</v>
      </c>
      <c r="X109" s="26">
        <v>1.2</v>
      </c>
      <c r="Y109" s="27">
        <v>0.2</v>
      </c>
      <c r="Z109" s="28">
        <v>0</v>
      </c>
      <c r="AA109" s="29">
        <v>0</v>
      </c>
      <c r="AB109" s="320" t="s">
        <v>212</v>
      </c>
    </row>
    <row r="110" spans="1:28" s="20" customFormat="1" x14ac:dyDescent="0.3">
      <c r="A110" s="429">
        <v>44304</v>
      </c>
      <c r="B110" s="40">
        <v>5.2</v>
      </c>
      <c r="C110" s="14">
        <v>14</v>
      </c>
      <c r="D110" s="14">
        <v>8.6999999999999993</v>
      </c>
      <c r="E110" s="14">
        <v>15.2</v>
      </c>
      <c r="F110" s="14">
        <v>0</v>
      </c>
      <c r="G110" s="76">
        <f t="shared" si="6"/>
        <v>15.2</v>
      </c>
      <c r="H110" s="76">
        <f t="shared" si="7"/>
        <v>9.1499999999999986</v>
      </c>
      <c r="I110" s="78">
        <v>8.175972222222244</v>
      </c>
      <c r="J110" s="14">
        <v>9.3000000000000007</v>
      </c>
      <c r="K110" s="14">
        <v>-1.2</v>
      </c>
      <c r="L110" s="78">
        <v>4.4343055555555582</v>
      </c>
      <c r="M110" s="84">
        <v>95.2</v>
      </c>
      <c r="N110" s="24">
        <v>55.1</v>
      </c>
      <c r="O110" s="80">
        <v>78.29437499999996</v>
      </c>
      <c r="P110" s="117">
        <v>1019.11809779756</v>
      </c>
      <c r="Q110" s="21">
        <v>1015.43385443815</v>
      </c>
      <c r="R110" s="66">
        <v>1017.0696698988763</v>
      </c>
      <c r="S110" s="71">
        <v>6.8000169013384442</v>
      </c>
      <c r="T110" s="61">
        <v>3.5714374481819444</v>
      </c>
      <c r="U110" s="25">
        <v>1.409502511233532</v>
      </c>
      <c r="V110" s="218" t="s">
        <v>238</v>
      </c>
      <c r="W110" s="221" t="s">
        <v>224</v>
      </c>
      <c r="X110" s="26">
        <v>0</v>
      </c>
      <c r="Y110" s="27">
        <v>0</v>
      </c>
      <c r="Z110" s="28">
        <v>0</v>
      </c>
      <c r="AA110" s="29">
        <v>0</v>
      </c>
      <c r="AB110" s="320" t="s">
        <v>209</v>
      </c>
    </row>
    <row r="111" spans="1:28" s="20" customFormat="1" x14ac:dyDescent="0.3">
      <c r="A111" s="429">
        <v>44305</v>
      </c>
      <c r="B111" s="40">
        <v>8.4</v>
      </c>
      <c r="C111" s="14">
        <v>11.4</v>
      </c>
      <c r="D111" s="14">
        <v>7.1</v>
      </c>
      <c r="E111" s="14">
        <v>12.2</v>
      </c>
      <c r="F111" s="14">
        <v>5.3</v>
      </c>
      <c r="G111" s="76">
        <f t="shared" si="6"/>
        <v>6.8999999999999995</v>
      </c>
      <c r="H111" s="76">
        <f t="shared" si="7"/>
        <v>8.5</v>
      </c>
      <c r="I111" s="78">
        <v>8.4982269503545798</v>
      </c>
      <c r="J111" s="14">
        <v>8.1999999999999993</v>
      </c>
      <c r="K111" s="14">
        <v>3.8</v>
      </c>
      <c r="L111" s="78">
        <v>6.1568794326241409</v>
      </c>
      <c r="M111" s="84">
        <v>93.3</v>
      </c>
      <c r="N111" s="24">
        <v>71.7</v>
      </c>
      <c r="O111" s="80">
        <v>85.497234042553245</v>
      </c>
      <c r="P111" s="117">
        <v>1017.2131626345</v>
      </c>
      <c r="Q111" s="21">
        <v>1013.56019304541</v>
      </c>
      <c r="R111" s="66">
        <v>1015.1893321348404</v>
      </c>
      <c r="S111" s="71">
        <v>5.4000134216511109</v>
      </c>
      <c r="T111" s="61">
        <v>4.243760547802208</v>
      </c>
      <c r="U111" s="25">
        <v>1.0412972309855506</v>
      </c>
      <c r="V111" s="218" t="s">
        <v>240</v>
      </c>
      <c r="W111" s="221" t="s">
        <v>213</v>
      </c>
      <c r="X111" s="26">
        <v>2.4</v>
      </c>
      <c r="Y111" s="27">
        <v>2.2000000000000002</v>
      </c>
      <c r="Z111" s="28">
        <v>0</v>
      </c>
      <c r="AA111" s="29">
        <v>0</v>
      </c>
      <c r="AB111" s="320" t="s">
        <v>212</v>
      </c>
    </row>
    <row r="112" spans="1:28" s="20" customFormat="1" x14ac:dyDescent="0.3">
      <c r="A112" s="429">
        <v>44306</v>
      </c>
      <c r="B112" s="40">
        <v>6.5</v>
      </c>
      <c r="C112" s="14">
        <v>18.100000000000001</v>
      </c>
      <c r="D112" s="14">
        <v>7</v>
      </c>
      <c r="E112" s="14">
        <v>19</v>
      </c>
      <c r="F112" s="14">
        <v>3.8</v>
      </c>
      <c r="G112" s="76">
        <f t="shared" si="6"/>
        <v>15.2</v>
      </c>
      <c r="H112" s="76">
        <f t="shared" si="7"/>
        <v>9.65</v>
      </c>
      <c r="I112" s="78">
        <v>10.474444444444446</v>
      </c>
      <c r="J112" s="14">
        <v>11.2</v>
      </c>
      <c r="K112" s="14">
        <v>1.8</v>
      </c>
      <c r="L112" s="78">
        <v>5.7534027777777785</v>
      </c>
      <c r="M112" s="84">
        <v>95.1</v>
      </c>
      <c r="N112" s="24">
        <v>44.4</v>
      </c>
      <c r="O112" s="80">
        <v>74.918541666666584</v>
      </c>
      <c r="P112" s="117">
        <v>1013.63172668711</v>
      </c>
      <c r="Q112" s="21">
        <v>1010.02656763843</v>
      </c>
      <c r="R112" s="66">
        <v>1011.9763712607623</v>
      </c>
      <c r="S112" s="71">
        <v>8.2000203810257499</v>
      </c>
      <c r="T112" s="61">
        <v>6.0214435376347772</v>
      </c>
      <c r="U112" s="25">
        <v>1.7882174902222563</v>
      </c>
      <c r="V112" s="218" t="s">
        <v>237</v>
      </c>
      <c r="W112" s="221"/>
      <c r="X112" s="26">
        <v>0</v>
      </c>
      <c r="Y112" s="27">
        <v>0</v>
      </c>
      <c r="Z112" s="28">
        <v>0</v>
      </c>
      <c r="AA112" s="29">
        <v>0</v>
      </c>
      <c r="AB112" s="320" t="s">
        <v>211</v>
      </c>
    </row>
    <row r="113" spans="1:28" s="20" customFormat="1" x14ac:dyDescent="0.3">
      <c r="A113" s="429">
        <v>44307</v>
      </c>
      <c r="B113" s="40">
        <v>5.0999999999999996</v>
      </c>
      <c r="C113" s="14">
        <v>16.7</v>
      </c>
      <c r="D113" s="14">
        <v>9.1</v>
      </c>
      <c r="E113" s="14">
        <v>17.7</v>
      </c>
      <c r="F113" s="14">
        <v>0</v>
      </c>
      <c r="G113" s="76">
        <f t="shared" si="6"/>
        <v>17.7</v>
      </c>
      <c r="H113" s="76">
        <f t="shared" si="7"/>
        <v>10</v>
      </c>
      <c r="I113" s="78">
        <v>8.794166666666646</v>
      </c>
      <c r="J113" s="14">
        <v>11.1</v>
      </c>
      <c r="K113" s="14">
        <v>-1.1000000000000001</v>
      </c>
      <c r="L113" s="78">
        <v>5.0669444444444389</v>
      </c>
      <c r="M113" s="84">
        <v>95.3</v>
      </c>
      <c r="N113" s="24">
        <v>54.3</v>
      </c>
      <c r="O113" s="80">
        <v>78.852916666666658</v>
      </c>
      <c r="P113" s="117">
        <v>1015.5423054164</v>
      </c>
      <c r="Q113" s="21">
        <v>1012.2552820928</v>
      </c>
      <c r="R113" s="66">
        <v>1013.7414466689689</v>
      </c>
      <c r="S113" s="71">
        <v>8.8000218723203325</v>
      </c>
      <c r="T113" s="61">
        <v>5.4000134216511118</v>
      </c>
      <c r="U113" s="25">
        <v>1.48360363787107</v>
      </c>
      <c r="V113" s="218" t="s">
        <v>233</v>
      </c>
      <c r="W113" s="221" t="s">
        <v>323</v>
      </c>
      <c r="X113" s="26">
        <v>20.399999999999999</v>
      </c>
      <c r="Y113" s="27">
        <v>4</v>
      </c>
      <c r="Z113" s="28">
        <v>0</v>
      </c>
      <c r="AA113" s="29">
        <v>0</v>
      </c>
      <c r="AB113" s="320" t="s">
        <v>322</v>
      </c>
    </row>
    <row r="114" spans="1:28" s="20" customFormat="1" ht="28.8" x14ac:dyDescent="0.3">
      <c r="A114" s="429">
        <v>44308</v>
      </c>
      <c r="B114" s="40">
        <v>9.1999999999999993</v>
      </c>
      <c r="C114" s="14">
        <v>11.4</v>
      </c>
      <c r="D114" s="14">
        <v>3.4</v>
      </c>
      <c r="E114" s="14">
        <v>13.9</v>
      </c>
      <c r="F114" s="14">
        <v>2.7</v>
      </c>
      <c r="G114" s="76">
        <f t="shared" si="6"/>
        <v>11.2</v>
      </c>
      <c r="H114" s="76">
        <f t="shared" si="7"/>
        <v>6.8500000000000005</v>
      </c>
      <c r="I114" s="78">
        <v>7.8745138888888153</v>
      </c>
      <c r="J114" s="14">
        <v>10.3</v>
      </c>
      <c r="K114" s="14">
        <v>1.7</v>
      </c>
      <c r="L114" s="78">
        <v>6.0555555555555554</v>
      </c>
      <c r="M114" s="84">
        <v>94.6</v>
      </c>
      <c r="N114" s="24">
        <v>70.3</v>
      </c>
      <c r="O114" s="80">
        <v>88.454166666666723</v>
      </c>
      <c r="P114" s="117">
        <v>1019.39924583448</v>
      </c>
      <c r="Q114" s="21">
        <v>1012.8231167837999</v>
      </c>
      <c r="R114" s="66">
        <v>1015.8449259533947</v>
      </c>
      <c r="S114" s="71">
        <v>13.300033057029582</v>
      </c>
      <c r="T114" s="61">
        <v>6.8500170256129858</v>
      </c>
      <c r="U114" s="25">
        <v>1.7520481004168253</v>
      </c>
      <c r="V114" s="218" t="s">
        <v>232</v>
      </c>
      <c r="W114" s="221" t="s">
        <v>213</v>
      </c>
      <c r="X114" s="26">
        <v>21.6</v>
      </c>
      <c r="Y114" s="27">
        <v>8</v>
      </c>
      <c r="Z114" s="28">
        <v>0</v>
      </c>
      <c r="AA114" s="29">
        <v>0</v>
      </c>
      <c r="AB114" s="320" t="s">
        <v>328</v>
      </c>
    </row>
    <row r="115" spans="1:28" s="20" customFormat="1" x14ac:dyDescent="0.3">
      <c r="A115" s="429">
        <v>44309</v>
      </c>
      <c r="B115" s="40">
        <v>3.3</v>
      </c>
      <c r="C115" s="14">
        <v>10.199999999999999</v>
      </c>
      <c r="D115" s="14">
        <v>6</v>
      </c>
      <c r="E115" s="14">
        <v>14.2</v>
      </c>
      <c r="F115" s="14">
        <v>2</v>
      </c>
      <c r="G115" s="76">
        <f t="shared" si="6"/>
        <v>12.2</v>
      </c>
      <c r="H115" s="76">
        <f t="shared" si="7"/>
        <v>6.375</v>
      </c>
      <c r="I115" s="78">
        <v>7.2120833333333101</v>
      </c>
      <c r="J115" s="14">
        <v>7.7</v>
      </c>
      <c r="K115" s="14">
        <v>1</v>
      </c>
      <c r="L115" s="78">
        <v>2.8539583333333387</v>
      </c>
      <c r="M115" s="84">
        <v>95.2</v>
      </c>
      <c r="N115" s="24">
        <v>48.5</v>
      </c>
      <c r="O115" s="80">
        <v>75.72833333333331</v>
      </c>
      <c r="P115" s="117">
        <v>1024.38431226173</v>
      </c>
      <c r="Q115" s="21">
        <v>1019.36873199505</v>
      </c>
      <c r="R115" s="66">
        <v>1021.2999184429025</v>
      </c>
      <c r="S115" s="71">
        <v>9.500023612164</v>
      </c>
      <c r="T115" s="61">
        <v>6.6991237934273045</v>
      </c>
      <c r="U115" s="25">
        <v>1.8069737372374475</v>
      </c>
      <c r="V115" s="218" t="s">
        <v>238</v>
      </c>
      <c r="W115" s="221" t="s">
        <v>224</v>
      </c>
      <c r="X115" s="26">
        <v>0</v>
      </c>
      <c r="Y115" s="27">
        <v>0</v>
      </c>
      <c r="Z115" s="28">
        <v>0</v>
      </c>
      <c r="AA115" s="29">
        <v>0</v>
      </c>
      <c r="AB115" s="320" t="s">
        <v>329</v>
      </c>
    </row>
    <row r="116" spans="1:28" s="20" customFormat="1" x14ac:dyDescent="0.3">
      <c r="A116" s="429">
        <v>44310</v>
      </c>
      <c r="B116" s="40">
        <v>3.7</v>
      </c>
      <c r="C116" s="14">
        <v>14</v>
      </c>
      <c r="D116" s="14">
        <v>7</v>
      </c>
      <c r="E116" s="14">
        <v>15.2</v>
      </c>
      <c r="F116" s="14">
        <v>0.9</v>
      </c>
      <c r="G116" s="76">
        <f t="shared" si="6"/>
        <v>14.299999999999999</v>
      </c>
      <c r="H116" s="76">
        <f t="shared" si="7"/>
        <v>7.9249999999999998</v>
      </c>
      <c r="I116" s="78">
        <v>7.9577777777777774</v>
      </c>
      <c r="J116" s="14">
        <v>5.8</v>
      </c>
      <c r="K116" s="14">
        <v>-0.7</v>
      </c>
      <c r="L116" s="78">
        <v>1.7440277777777766</v>
      </c>
      <c r="M116" s="84">
        <v>92.6</v>
      </c>
      <c r="N116" s="24">
        <v>37.799999999999997</v>
      </c>
      <c r="O116" s="80">
        <v>67.567916666666633</v>
      </c>
      <c r="P116" s="117">
        <v>1024.33409239092</v>
      </c>
      <c r="Q116" s="21">
        <v>1020.28563014029</v>
      </c>
      <c r="R116" s="66">
        <v>1022.3640329488384</v>
      </c>
      <c r="S116" s="71">
        <v>7.1000176469857221</v>
      </c>
      <c r="T116" s="61">
        <v>4.3642965616783478</v>
      </c>
      <c r="U116" s="25">
        <v>1.2812345832985661</v>
      </c>
      <c r="V116" s="218" t="s">
        <v>238</v>
      </c>
      <c r="W116" s="221" t="s">
        <v>224</v>
      </c>
      <c r="X116" s="26">
        <v>0</v>
      </c>
      <c r="Y116" s="27">
        <v>0</v>
      </c>
      <c r="Z116" s="28">
        <v>0</v>
      </c>
      <c r="AA116" s="29">
        <v>0</v>
      </c>
      <c r="AB116" s="320" t="s">
        <v>211</v>
      </c>
    </row>
    <row r="117" spans="1:28" s="20" customFormat="1" x14ac:dyDescent="0.3">
      <c r="A117" s="429">
        <v>44311</v>
      </c>
      <c r="B117" s="40">
        <v>5.7</v>
      </c>
      <c r="C117" s="14">
        <v>9.9</v>
      </c>
      <c r="D117" s="14">
        <v>5.4</v>
      </c>
      <c r="E117" s="14">
        <v>11.2</v>
      </c>
      <c r="F117" s="14">
        <v>1.5</v>
      </c>
      <c r="G117" s="76">
        <f t="shared" si="6"/>
        <v>9.6999999999999993</v>
      </c>
      <c r="H117" s="76">
        <f t="shared" si="7"/>
        <v>6.6000000000000005</v>
      </c>
      <c r="I117" s="78">
        <v>7.1988194444444487</v>
      </c>
      <c r="J117" s="14">
        <v>5.5</v>
      </c>
      <c r="K117" s="14">
        <v>-2.5</v>
      </c>
      <c r="L117" s="78">
        <v>2.5380555555555535</v>
      </c>
      <c r="M117" s="84">
        <v>89</v>
      </c>
      <c r="N117" s="24">
        <v>58</v>
      </c>
      <c r="O117" s="80">
        <v>72.890694444444293</v>
      </c>
      <c r="P117" s="117">
        <v>1020.7990717103301</v>
      </c>
      <c r="Q117" s="21">
        <v>1016.73158579023</v>
      </c>
      <c r="R117" s="66">
        <v>1018.7215980204081</v>
      </c>
      <c r="S117" s="71">
        <v>10.200025352007668</v>
      </c>
      <c r="T117" s="61">
        <v>5.7357285417802224</v>
      </c>
      <c r="U117" s="25">
        <v>1.2372674601300624</v>
      </c>
      <c r="V117" s="218" t="s">
        <v>240</v>
      </c>
      <c r="W117" s="221" t="s">
        <v>224</v>
      </c>
      <c r="X117" s="26">
        <v>0</v>
      </c>
      <c r="Y117" s="27">
        <v>0</v>
      </c>
      <c r="Z117" s="28">
        <v>0</v>
      </c>
      <c r="AA117" s="29">
        <v>0</v>
      </c>
      <c r="AB117" s="320" t="s">
        <v>209</v>
      </c>
    </row>
    <row r="118" spans="1:28" s="20" customFormat="1" x14ac:dyDescent="0.3">
      <c r="A118" s="429">
        <v>44312</v>
      </c>
      <c r="B118" s="40">
        <v>2.4</v>
      </c>
      <c r="C118" s="14">
        <v>12.5</v>
      </c>
      <c r="D118" s="14">
        <v>6.8</v>
      </c>
      <c r="E118" s="14">
        <v>14.1</v>
      </c>
      <c r="F118" s="14">
        <v>-3.6</v>
      </c>
      <c r="G118" s="76">
        <f t="shared" si="6"/>
        <v>17.7</v>
      </c>
      <c r="H118" s="76">
        <f t="shared" si="7"/>
        <v>7.125</v>
      </c>
      <c r="I118" s="78">
        <v>5.9452083333333459</v>
      </c>
      <c r="J118" s="14">
        <v>3.6</v>
      </c>
      <c r="K118" s="14">
        <v>-5.3</v>
      </c>
      <c r="L118" s="78">
        <v>-1.7023611111111046</v>
      </c>
      <c r="M118" s="84">
        <v>90.8</v>
      </c>
      <c r="N118" s="24">
        <v>33.700000000000003</v>
      </c>
      <c r="O118" s="80">
        <v>60.903055555555625</v>
      </c>
      <c r="P118" s="117">
        <v>1021.11976013925</v>
      </c>
      <c r="Q118" s="21">
        <v>1014.86371368103</v>
      </c>
      <c r="R118" s="66">
        <v>1018.3471805707007</v>
      </c>
      <c r="S118" s="71">
        <v>7.8000193868293888</v>
      </c>
      <c r="T118" s="61">
        <v>3.8714381938292357</v>
      </c>
      <c r="U118" s="25">
        <v>1.4948077827822934</v>
      </c>
      <c r="V118" s="218" t="s">
        <v>240</v>
      </c>
      <c r="W118" s="221" t="s">
        <v>224</v>
      </c>
      <c r="X118" s="26">
        <v>0</v>
      </c>
      <c r="Y118" s="27">
        <v>0</v>
      </c>
      <c r="Z118" s="28">
        <v>0</v>
      </c>
      <c r="AA118" s="29">
        <v>0</v>
      </c>
      <c r="AB118" s="320" t="s">
        <v>211</v>
      </c>
    </row>
    <row r="119" spans="1:28" s="20" customFormat="1" x14ac:dyDescent="0.3">
      <c r="A119" s="429">
        <v>44313</v>
      </c>
      <c r="B119" s="40">
        <v>6</v>
      </c>
      <c r="C119" s="14">
        <v>14.8</v>
      </c>
      <c r="D119" s="14">
        <v>3.7</v>
      </c>
      <c r="E119" s="14">
        <v>15</v>
      </c>
      <c r="F119" s="14">
        <v>0.6</v>
      </c>
      <c r="G119" s="76">
        <f t="shared" si="6"/>
        <v>14.4</v>
      </c>
      <c r="H119" s="76">
        <f t="shared" si="7"/>
        <v>7.0500000000000007</v>
      </c>
      <c r="I119" s="78">
        <v>7.9951388888888619</v>
      </c>
      <c r="J119" s="14">
        <v>3.4</v>
      </c>
      <c r="K119" s="14">
        <v>-4</v>
      </c>
      <c r="L119" s="78">
        <v>-1.1299305555555537</v>
      </c>
      <c r="M119" s="84">
        <v>83.9</v>
      </c>
      <c r="N119" s="24">
        <v>30.1</v>
      </c>
      <c r="O119" s="80">
        <v>54.873611111111224</v>
      </c>
      <c r="P119" s="117">
        <v>1016.4247696705301</v>
      </c>
      <c r="Q119" s="21">
        <v>1012.68959294367</v>
      </c>
      <c r="R119" s="66">
        <v>1014.8135000791104</v>
      </c>
      <c r="S119" s="71">
        <v>7.5000186411821108</v>
      </c>
      <c r="T119" s="61">
        <v>5.0142981772474577</v>
      </c>
      <c r="U119" s="25">
        <v>1.9816919884023152</v>
      </c>
      <c r="V119" s="218" t="s">
        <v>237</v>
      </c>
      <c r="W119" s="221"/>
      <c r="X119" s="26">
        <v>0</v>
      </c>
      <c r="Y119" s="27">
        <v>0</v>
      </c>
      <c r="Z119" s="28">
        <v>0</v>
      </c>
      <c r="AA119" s="29">
        <v>0</v>
      </c>
      <c r="AB119" s="320" t="s">
        <v>272</v>
      </c>
    </row>
    <row r="120" spans="1:28" s="20" customFormat="1" x14ac:dyDescent="0.3">
      <c r="A120" s="429">
        <v>44314</v>
      </c>
      <c r="B120" s="40">
        <v>3.2</v>
      </c>
      <c r="C120" s="14">
        <v>17.7</v>
      </c>
      <c r="D120" s="14">
        <v>8.3000000000000007</v>
      </c>
      <c r="E120" s="14">
        <v>18.100000000000001</v>
      </c>
      <c r="F120" s="14">
        <v>-3.1</v>
      </c>
      <c r="G120" s="76">
        <f t="shared" si="6"/>
        <v>21.200000000000003</v>
      </c>
      <c r="H120" s="76">
        <f t="shared" si="7"/>
        <v>9.375</v>
      </c>
      <c r="I120" s="78">
        <v>8.5796527777777882</v>
      </c>
      <c r="J120" s="14">
        <v>5.5</v>
      </c>
      <c r="K120" s="14">
        <v>-5</v>
      </c>
      <c r="L120" s="78">
        <v>0.51923611111111156</v>
      </c>
      <c r="M120" s="84">
        <v>88.7</v>
      </c>
      <c r="N120" s="24">
        <v>28.6</v>
      </c>
      <c r="O120" s="80">
        <v>60.869166666666551</v>
      </c>
      <c r="P120" s="117">
        <v>1015.44283907849</v>
      </c>
      <c r="Q120" s="21">
        <v>1008.88206329815</v>
      </c>
      <c r="R120" s="66">
        <v>1012.3122857614037</v>
      </c>
      <c r="S120" s="71">
        <v>7.1000176469857221</v>
      </c>
      <c r="T120" s="61">
        <v>4.5142969345019868</v>
      </c>
      <c r="U120" s="25">
        <v>1.4512126843479769</v>
      </c>
      <c r="V120" s="218" t="s">
        <v>233</v>
      </c>
      <c r="W120" s="221" t="s">
        <v>224</v>
      </c>
      <c r="X120" s="26">
        <v>0</v>
      </c>
      <c r="Y120" s="27">
        <v>0</v>
      </c>
      <c r="Z120" s="28">
        <v>0</v>
      </c>
      <c r="AA120" s="29">
        <v>0</v>
      </c>
      <c r="AB120" s="320" t="s">
        <v>330</v>
      </c>
    </row>
    <row r="121" spans="1:28" s="20" customFormat="1" x14ac:dyDescent="0.3">
      <c r="A121" s="429">
        <v>44315</v>
      </c>
      <c r="B121" s="40">
        <v>11.5</v>
      </c>
      <c r="C121" s="14">
        <v>12</v>
      </c>
      <c r="D121" s="14">
        <v>9.1999999999999993</v>
      </c>
      <c r="E121" s="14">
        <v>14.1</v>
      </c>
      <c r="F121" s="14">
        <v>4.3</v>
      </c>
      <c r="G121" s="76">
        <f>E121-F121</f>
        <v>9.8000000000000007</v>
      </c>
      <c r="H121" s="76">
        <f t="shared" si="7"/>
        <v>10.475</v>
      </c>
      <c r="I121" s="78">
        <v>10.315069444444475</v>
      </c>
      <c r="J121" s="14">
        <v>10.6</v>
      </c>
      <c r="K121" s="14">
        <v>2.2999999999999998</v>
      </c>
      <c r="L121" s="78">
        <v>7.964722222222167</v>
      </c>
      <c r="M121" s="84">
        <v>92.7</v>
      </c>
      <c r="N121" s="24">
        <v>78.400000000000006</v>
      </c>
      <c r="O121" s="80">
        <v>85.428263888888907</v>
      </c>
      <c r="P121" s="117">
        <v>1010.61841658348</v>
      </c>
      <c r="Q121" s="21">
        <v>1008.12458420472</v>
      </c>
      <c r="R121" s="66">
        <v>1009.4381419563183</v>
      </c>
      <c r="S121" s="71">
        <v>11.200027837498611</v>
      </c>
      <c r="T121" s="61">
        <v>7.385732642840277</v>
      </c>
      <c r="U121" s="25">
        <v>2.3158353690687754</v>
      </c>
      <c r="V121" s="218" t="s">
        <v>242</v>
      </c>
      <c r="W121" s="221" t="s">
        <v>224</v>
      </c>
      <c r="X121" s="26">
        <v>0</v>
      </c>
      <c r="Y121" s="27">
        <v>0</v>
      </c>
      <c r="Z121" s="28">
        <v>0</v>
      </c>
      <c r="AA121" s="29">
        <v>0</v>
      </c>
      <c r="AB121" s="320" t="s">
        <v>211</v>
      </c>
    </row>
    <row r="122" spans="1:28" s="315" customFormat="1" ht="15" thickBot="1" x14ac:dyDescent="0.35">
      <c r="A122" s="430">
        <v>44316</v>
      </c>
      <c r="B122" s="41">
        <v>13.5</v>
      </c>
      <c r="C122" s="22">
        <v>14.5</v>
      </c>
      <c r="D122" s="22">
        <v>9.9</v>
      </c>
      <c r="E122" s="22">
        <v>18.8</v>
      </c>
      <c r="F122" s="22">
        <v>8.3000000000000007</v>
      </c>
      <c r="G122" s="314">
        <f>E122-F122</f>
        <v>10.5</v>
      </c>
      <c r="H122" s="314">
        <f>(B122+C122+2*D122)/4</f>
        <v>11.95</v>
      </c>
      <c r="I122" s="79">
        <v>13.073402777777817</v>
      </c>
      <c r="J122" s="22">
        <v>14.8</v>
      </c>
      <c r="K122" s="22">
        <v>7.2</v>
      </c>
      <c r="L122" s="79">
        <v>10.731250000000003</v>
      </c>
      <c r="M122" s="85">
        <v>97.1</v>
      </c>
      <c r="N122" s="67">
        <v>64.8</v>
      </c>
      <c r="O122" s="81">
        <v>86.241527777777733</v>
      </c>
      <c r="P122" s="118">
        <v>1012.00490268928</v>
      </c>
      <c r="Q122" s="68">
        <v>1008.07066445397</v>
      </c>
      <c r="R122" s="69">
        <v>1009.5613958134963</v>
      </c>
      <c r="S122" s="73">
        <v>8.2000203810257499</v>
      </c>
      <c r="T122" s="63">
        <v>6.0000149129456801</v>
      </c>
      <c r="U122" s="42">
        <v>1.0282887661135269</v>
      </c>
      <c r="V122" s="222" t="s">
        <v>236</v>
      </c>
      <c r="W122" s="223" t="s">
        <v>265</v>
      </c>
      <c r="X122" s="44">
        <v>2.4</v>
      </c>
      <c r="Y122" s="45">
        <v>0.9</v>
      </c>
      <c r="Z122" s="46">
        <v>0</v>
      </c>
      <c r="AA122" s="47">
        <v>0</v>
      </c>
      <c r="AB122" s="321" t="s">
        <v>331</v>
      </c>
    </row>
    <row r="123" spans="1:28" s="417" customFormat="1" x14ac:dyDescent="0.3">
      <c r="A123" s="428">
        <v>44317</v>
      </c>
      <c r="B123" s="400">
        <v>11.3</v>
      </c>
      <c r="C123" s="401">
        <v>20.8</v>
      </c>
      <c r="D123" s="401">
        <v>14.3</v>
      </c>
      <c r="E123" s="401">
        <v>21.9</v>
      </c>
      <c r="F123" s="401">
        <v>6.9</v>
      </c>
      <c r="G123" s="402">
        <f>E123-F123</f>
        <v>14.999999999999998</v>
      </c>
      <c r="H123" s="402">
        <f>(B123+C123+2*D123)/4</f>
        <v>15.175000000000001</v>
      </c>
      <c r="I123" s="403">
        <v>14.704862579281169</v>
      </c>
      <c r="J123" s="401">
        <v>16.399999999999999</v>
      </c>
      <c r="K123" s="401">
        <v>5.9</v>
      </c>
      <c r="L123" s="403">
        <v>11.996476391825206</v>
      </c>
      <c r="M123" s="404">
        <v>96.6</v>
      </c>
      <c r="N123" s="405">
        <v>66.8</v>
      </c>
      <c r="O123" s="406">
        <v>84.667582804792076</v>
      </c>
      <c r="P123" s="407">
        <v>1012.14606922435</v>
      </c>
      <c r="Q123" s="408">
        <v>1006.83122667717</v>
      </c>
      <c r="R123" s="409">
        <v>1009.8919033265655</v>
      </c>
      <c r="S123" s="372">
        <v>12.600031317185945</v>
      </c>
      <c r="T123" s="373">
        <v>8.1366273663205284</v>
      </c>
      <c r="U123" s="373">
        <v>2.7479328296133541</v>
      </c>
      <c r="V123" s="374" t="s">
        <v>242</v>
      </c>
      <c r="W123" s="411" t="s">
        <v>224</v>
      </c>
      <c r="X123" s="412">
        <v>0</v>
      </c>
      <c r="Y123" s="413">
        <v>0</v>
      </c>
      <c r="Z123" s="414">
        <v>0</v>
      </c>
      <c r="AA123" s="415">
        <v>0</v>
      </c>
      <c r="AB123" s="416" t="s">
        <v>333</v>
      </c>
    </row>
    <row r="124" spans="1:28" s="20" customFormat="1" x14ac:dyDescent="0.3">
      <c r="A124" s="429">
        <v>44318</v>
      </c>
      <c r="B124" s="40">
        <v>11.5</v>
      </c>
      <c r="C124" s="14">
        <v>22.9</v>
      </c>
      <c r="D124" s="14">
        <v>11.5</v>
      </c>
      <c r="E124" s="14">
        <v>24</v>
      </c>
      <c r="F124" s="14">
        <v>8.6</v>
      </c>
      <c r="G124" s="76">
        <f>E124-F124</f>
        <v>15.4</v>
      </c>
      <c r="H124" s="76">
        <f>(B124+C124+2*D124)/4</f>
        <v>14.35</v>
      </c>
      <c r="I124" s="78">
        <v>14.419236111111086</v>
      </c>
      <c r="J124" s="14">
        <v>17.3</v>
      </c>
      <c r="K124" s="14">
        <v>4.8</v>
      </c>
      <c r="L124" s="78">
        <v>10.521180555555542</v>
      </c>
      <c r="M124" s="84">
        <v>96.6</v>
      </c>
      <c r="N124" s="24">
        <v>50.2</v>
      </c>
      <c r="O124" s="80">
        <v>78.975069444444415</v>
      </c>
      <c r="P124" s="117">
        <v>1011.55547219639</v>
      </c>
      <c r="Q124" s="21">
        <v>999.90270541476002</v>
      </c>
      <c r="R124" s="66">
        <v>1004.5708334462857</v>
      </c>
      <c r="S124" s="71">
        <v>11.600028831694972</v>
      </c>
      <c r="T124" s="61">
        <v>7.1678749585011801</v>
      </c>
      <c r="U124" s="25">
        <v>2.6993680683652035</v>
      </c>
      <c r="V124" s="218" t="s">
        <v>242</v>
      </c>
      <c r="W124" s="219" t="s">
        <v>224</v>
      </c>
      <c r="X124" s="16">
        <v>0</v>
      </c>
      <c r="Y124" s="17">
        <v>0</v>
      </c>
      <c r="Z124" s="18">
        <v>0</v>
      </c>
      <c r="AA124" s="43">
        <v>0</v>
      </c>
      <c r="AB124" s="319" t="s">
        <v>209</v>
      </c>
    </row>
    <row r="125" spans="1:28" s="20" customFormat="1" x14ac:dyDescent="0.3">
      <c r="A125" s="429">
        <v>44319</v>
      </c>
      <c r="B125" s="40">
        <v>7.5</v>
      </c>
      <c r="C125" s="14">
        <v>15</v>
      </c>
      <c r="D125" s="14">
        <v>6.8</v>
      </c>
      <c r="E125" s="14">
        <v>17.2</v>
      </c>
      <c r="F125" s="14">
        <v>2.4</v>
      </c>
      <c r="G125" s="76">
        <f t="shared" ref="G125:G152" si="8">E125-F125</f>
        <v>14.799999999999999</v>
      </c>
      <c r="H125" s="76">
        <f t="shared" ref="H125:H152" si="9">(B125+C125+2*D125)/4</f>
        <v>9.0250000000000004</v>
      </c>
      <c r="I125" s="78">
        <v>9.9876388888888776</v>
      </c>
      <c r="J125" s="14">
        <v>8.9</v>
      </c>
      <c r="K125" s="14">
        <v>-0.2</v>
      </c>
      <c r="L125" s="78">
        <v>3.7362500000000067</v>
      </c>
      <c r="M125" s="84">
        <v>87.8</v>
      </c>
      <c r="N125" s="24">
        <v>40.5</v>
      </c>
      <c r="O125" s="80">
        <v>66.518680555555619</v>
      </c>
      <c r="P125" s="117">
        <v>1019.84316650599</v>
      </c>
      <c r="Q125" s="21">
        <v>1011.55785735728</v>
      </c>
      <c r="R125" s="66">
        <v>1015.855947736011</v>
      </c>
      <c r="S125" s="71">
        <v>10.200025352007668</v>
      </c>
      <c r="T125" s="61">
        <v>5.7214427919874868</v>
      </c>
      <c r="U125" s="25">
        <v>2.1798107254260399</v>
      </c>
      <c r="V125" s="218" t="s">
        <v>238</v>
      </c>
      <c r="W125" s="219"/>
      <c r="X125" s="16">
        <v>0</v>
      </c>
      <c r="Y125" s="17">
        <v>0</v>
      </c>
      <c r="Z125" s="18">
        <v>0</v>
      </c>
      <c r="AA125" s="43">
        <v>0</v>
      </c>
      <c r="AB125" s="319" t="s">
        <v>209</v>
      </c>
    </row>
    <row r="126" spans="1:28" s="20" customFormat="1" x14ac:dyDescent="0.3">
      <c r="A126" s="429">
        <v>44320</v>
      </c>
      <c r="B126" s="40">
        <v>5.2</v>
      </c>
      <c r="C126" s="14">
        <v>17.3</v>
      </c>
      <c r="D126" s="14">
        <v>14.3</v>
      </c>
      <c r="E126" s="14">
        <v>18.3</v>
      </c>
      <c r="F126" s="14">
        <v>-1.5</v>
      </c>
      <c r="G126" s="76">
        <f t="shared" si="8"/>
        <v>19.8</v>
      </c>
      <c r="H126" s="76">
        <f t="shared" si="9"/>
        <v>12.775</v>
      </c>
      <c r="I126" s="78">
        <v>10.278611111111115</v>
      </c>
      <c r="J126" s="14">
        <v>6.3</v>
      </c>
      <c r="K126" s="14">
        <v>-2.8</v>
      </c>
      <c r="L126" s="78">
        <v>2.4579166666666628</v>
      </c>
      <c r="M126" s="84">
        <v>93.8</v>
      </c>
      <c r="N126" s="24">
        <v>42.1</v>
      </c>
      <c r="O126" s="80">
        <v>61.813541666666637</v>
      </c>
      <c r="P126" s="117">
        <v>1020.18409826369</v>
      </c>
      <c r="Q126" s="21">
        <v>1008.55990007757</v>
      </c>
      <c r="R126" s="66">
        <v>1014.7835831838513</v>
      </c>
      <c r="S126" s="72">
        <v>13.300033057029582</v>
      </c>
      <c r="T126" s="62">
        <v>9.371451864029444</v>
      </c>
      <c r="U126" s="19">
        <v>3.9231806339422213</v>
      </c>
      <c r="V126" s="218" t="s">
        <v>232</v>
      </c>
      <c r="W126" s="220"/>
      <c r="X126" s="16">
        <v>0</v>
      </c>
      <c r="Y126" s="17">
        <v>0</v>
      </c>
      <c r="Z126" s="18">
        <v>0</v>
      </c>
      <c r="AA126" s="43">
        <v>0</v>
      </c>
      <c r="AB126" s="319" t="s">
        <v>291</v>
      </c>
    </row>
    <row r="127" spans="1:28" s="20" customFormat="1" x14ac:dyDescent="0.3">
      <c r="A127" s="429">
        <v>44321</v>
      </c>
      <c r="B127" s="40">
        <v>10.8</v>
      </c>
      <c r="C127" s="14">
        <v>18.899999999999999</v>
      </c>
      <c r="D127" s="14">
        <v>5.9</v>
      </c>
      <c r="E127" s="14">
        <v>21.1</v>
      </c>
      <c r="F127" s="14">
        <v>4</v>
      </c>
      <c r="G127" s="76">
        <f t="shared" si="8"/>
        <v>17.100000000000001</v>
      </c>
      <c r="H127" s="76">
        <f t="shared" si="9"/>
        <v>10.375</v>
      </c>
      <c r="I127" s="78">
        <v>12.153055555555557</v>
      </c>
      <c r="J127" s="14">
        <v>10.9</v>
      </c>
      <c r="K127" s="14">
        <v>1.5</v>
      </c>
      <c r="L127" s="78">
        <v>5.7999305555555463</v>
      </c>
      <c r="M127" s="84">
        <v>90.5</v>
      </c>
      <c r="N127" s="24">
        <v>47.2</v>
      </c>
      <c r="O127" s="80">
        <v>67.407708333333275</v>
      </c>
      <c r="P127" s="117">
        <v>1008.99433471594</v>
      </c>
      <c r="Q127" s="21">
        <v>999.60031375859398</v>
      </c>
      <c r="R127" s="66">
        <v>1005.4009399790139</v>
      </c>
      <c r="S127" s="71">
        <v>13.300033057029582</v>
      </c>
      <c r="T127" s="61">
        <v>8.5643070007403193</v>
      </c>
      <c r="U127" s="25">
        <v>3.1545403306413093</v>
      </c>
      <c r="V127" s="218" t="s">
        <v>268</v>
      </c>
      <c r="W127" s="220" t="s">
        <v>338</v>
      </c>
      <c r="X127" s="16">
        <v>25.2</v>
      </c>
      <c r="Y127" s="17">
        <v>17.399999999999999</v>
      </c>
      <c r="Z127" s="18">
        <v>0</v>
      </c>
      <c r="AA127" s="43">
        <v>0</v>
      </c>
      <c r="AB127" s="319" t="s">
        <v>339</v>
      </c>
    </row>
    <row r="128" spans="1:28" s="20" customFormat="1" x14ac:dyDescent="0.3">
      <c r="A128" s="429">
        <v>44322</v>
      </c>
      <c r="B128" s="40">
        <v>6.6</v>
      </c>
      <c r="C128" s="14">
        <v>17.100000000000001</v>
      </c>
      <c r="D128" s="14">
        <v>10.4</v>
      </c>
      <c r="E128" s="14">
        <v>17.899999999999999</v>
      </c>
      <c r="F128" s="14">
        <v>2.1</v>
      </c>
      <c r="G128" s="76">
        <f t="shared" si="8"/>
        <v>15.799999999999999</v>
      </c>
      <c r="H128" s="76">
        <f t="shared" si="9"/>
        <v>11.125</v>
      </c>
      <c r="I128" s="78">
        <v>10.225277777777769</v>
      </c>
      <c r="J128" s="14">
        <v>8</v>
      </c>
      <c r="K128" s="14">
        <v>1</v>
      </c>
      <c r="L128" s="78">
        <v>3.8295138888888913</v>
      </c>
      <c r="M128" s="84">
        <v>95.1</v>
      </c>
      <c r="N128" s="24">
        <v>37.200000000000003</v>
      </c>
      <c r="O128" s="80">
        <v>67.80624999999992</v>
      </c>
      <c r="P128" s="117">
        <v>1012.6096430026899</v>
      </c>
      <c r="Q128" s="21">
        <v>1007.48148892739</v>
      </c>
      <c r="R128" s="66">
        <v>1010.5557221926942</v>
      </c>
      <c r="S128" s="71">
        <v>9.2000228665167221</v>
      </c>
      <c r="T128" s="61">
        <v>4.7142974316001798</v>
      </c>
      <c r="U128" s="25">
        <v>1.9066639651747213</v>
      </c>
      <c r="V128" s="218" t="s">
        <v>232</v>
      </c>
      <c r="W128" s="220" t="s">
        <v>213</v>
      </c>
      <c r="X128" s="16">
        <v>1.2</v>
      </c>
      <c r="Y128" s="17">
        <v>0.2</v>
      </c>
      <c r="Z128" s="18">
        <v>0</v>
      </c>
      <c r="AA128" s="43">
        <v>0</v>
      </c>
      <c r="AB128" s="319" t="s">
        <v>333</v>
      </c>
    </row>
    <row r="129" spans="1:28" s="20" customFormat="1" x14ac:dyDescent="0.3">
      <c r="A129" s="429">
        <v>44323</v>
      </c>
      <c r="B129" s="40">
        <v>9.3000000000000007</v>
      </c>
      <c r="C129" s="14">
        <v>14.6</v>
      </c>
      <c r="D129" s="14">
        <v>9</v>
      </c>
      <c r="E129" s="14">
        <v>15.5</v>
      </c>
      <c r="F129" s="14">
        <v>5.9</v>
      </c>
      <c r="G129" s="76">
        <f t="shared" si="8"/>
        <v>9.6</v>
      </c>
      <c r="H129" s="76">
        <f t="shared" si="9"/>
        <v>10.475</v>
      </c>
      <c r="I129" s="78">
        <v>10.750069444444454</v>
      </c>
      <c r="J129" s="14">
        <v>10.199999999999999</v>
      </c>
      <c r="K129" s="14">
        <v>3.7</v>
      </c>
      <c r="L129" s="78">
        <v>6.6484722222222281</v>
      </c>
      <c r="M129" s="84">
        <v>91.6</v>
      </c>
      <c r="N129" s="24">
        <v>62.4</v>
      </c>
      <c r="O129" s="80">
        <v>76.147430555555474</v>
      </c>
      <c r="P129" s="117">
        <v>1013.41999061107</v>
      </c>
      <c r="Q129" s="21">
        <v>1005.88703631795</v>
      </c>
      <c r="R129" s="66">
        <v>1007.7914645524993</v>
      </c>
      <c r="S129" s="71">
        <v>10.900027091851305</v>
      </c>
      <c r="T129" s="61">
        <v>6.56430202975843</v>
      </c>
      <c r="U129" s="25">
        <v>3.0502493968246096</v>
      </c>
      <c r="V129" s="218" t="s">
        <v>232</v>
      </c>
      <c r="W129" s="220" t="s">
        <v>213</v>
      </c>
      <c r="X129" s="16">
        <v>12</v>
      </c>
      <c r="Y129" s="17">
        <v>4</v>
      </c>
      <c r="Z129" s="18">
        <v>0</v>
      </c>
      <c r="AA129" s="43">
        <v>0</v>
      </c>
      <c r="AB129" s="319" t="s">
        <v>340</v>
      </c>
    </row>
    <row r="130" spans="1:28" s="20" customFormat="1" x14ac:dyDescent="0.3">
      <c r="A130" s="429">
        <v>44324</v>
      </c>
      <c r="B130" s="40">
        <v>7.1</v>
      </c>
      <c r="C130" s="14">
        <v>13.3</v>
      </c>
      <c r="D130" s="14">
        <v>4.5</v>
      </c>
      <c r="E130" s="14">
        <v>15.7</v>
      </c>
      <c r="F130" s="14">
        <v>1.5</v>
      </c>
      <c r="G130" s="76">
        <f t="shared" si="8"/>
        <v>14.2</v>
      </c>
      <c r="H130" s="76">
        <f t="shared" si="9"/>
        <v>7.35</v>
      </c>
      <c r="I130" s="78">
        <v>8.5137499999999893</v>
      </c>
      <c r="J130" s="14">
        <v>7.2</v>
      </c>
      <c r="K130" s="14">
        <v>-0.4</v>
      </c>
      <c r="L130" s="78">
        <v>2.5252777777777817</v>
      </c>
      <c r="M130" s="84">
        <v>89</v>
      </c>
      <c r="N130" s="24">
        <v>41.8</v>
      </c>
      <c r="O130" s="80">
        <v>67.967500000000044</v>
      </c>
      <c r="P130" s="117">
        <v>1022.29525993794</v>
      </c>
      <c r="Q130" s="21">
        <v>1013.47003141728</v>
      </c>
      <c r="R130" s="66">
        <v>1018.8228346368804</v>
      </c>
      <c r="S130" s="71">
        <v>10.200025352007668</v>
      </c>
      <c r="T130" s="61">
        <v>5.742871416676584</v>
      </c>
      <c r="U130" s="25">
        <v>2.1566645865474561</v>
      </c>
      <c r="V130" s="218" t="s">
        <v>238</v>
      </c>
      <c r="W130" s="220"/>
      <c r="X130" s="16">
        <v>0</v>
      </c>
      <c r="Y130" s="17">
        <v>0</v>
      </c>
      <c r="Z130" s="18">
        <v>0</v>
      </c>
      <c r="AA130" s="43">
        <v>0</v>
      </c>
      <c r="AB130" s="319" t="s">
        <v>286</v>
      </c>
    </row>
    <row r="131" spans="1:28" s="20" customFormat="1" x14ac:dyDescent="0.3">
      <c r="A131" s="429">
        <v>44325</v>
      </c>
      <c r="B131" s="40">
        <v>4.3</v>
      </c>
      <c r="C131" s="14">
        <v>18.899999999999999</v>
      </c>
      <c r="D131" s="14">
        <v>13</v>
      </c>
      <c r="E131" s="14">
        <v>19.3</v>
      </c>
      <c r="F131" s="14">
        <v>-1.3</v>
      </c>
      <c r="G131" s="76">
        <f t="shared" si="8"/>
        <v>20.6</v>
      </c>
      <c r="H131" s="76">
        <f t="shared" si="9"/>
        <v>12.3</v>
      </c>
      <c r="I131" s="78">
        <v>10.246305418719217</v>
      </c>
      <c r="J131" s="14">
        <v>8.8000000000000007</v>
      </c>
      <c r="K131" s="14">
        <v>-2.5</v>
      </c>
      <c r="L131" s="78">
        <v>3.2335679099225909</v>
      </c>
      <c r="M131" s="84">
        <v>94</v>
      </c>
      <c r="N131" s="24">
        <v>38.299999999999997</v>
      </c>
      <c r="O131" s="80">
        <v>65.802111189303389</v>
      </c>
      <c r="P131" s="117">
        <v>1024.1648456789001</v>
      </c>
      <c r="Q131" s="21">
        <v>1018.89029034287</v>
      </c>
      <c r="R131" s="66">
        <v>1021.6415618726377</v>
      </c>
      <c r="S131" s="71">
        <v>11.600028831694972</v>
      </c>
      <c r="T131" s="61">
        <v>6.9857316486439025</v>
      </c>
      <c r="U131" s="25">
        <v>2.8189182166957556</v>
      </c>
      <c r="V131" s="218" t="s">
        <v>232</v>
      </c>
      <c r="W131" s="220"/>
      <c r="X131" s="16">
        <v>0</v>
      </c>
      <c r="Y131" s="17">
        <v>0</v>
      </c>
      <c r="Z131" s="18">
        <v>0</v>
      </c>
      <c r="AA131" s="43">
        <v>0</v>
      </c>
      <c r="AB131" s="319" t="s">
        <v>272</v>
      </c>
    </row>
    <row r="132" spans="1:28" s="20" customFormat="1" x14ac:dyDescent="0.3">
      <c r="A132" s="429">
        <v>44326</v>
      </c>
      <c r="B132" s="40">
        <v>14.1</v>
      </c>
      <c r="C132" s="14">
        <v>23.9</v>
      </c>
      <c r="D132" s="14">
        <v>12.7</v>
      </c>
      <c r="E132" s="14">
        <v>24.7</v>
      </c>
      <c r="F132" s="14">
        <v>2.9</v>
      </c>
      <c r="G132" s="76">
        <f t="shared" si="8"/>
        <v>21.8</v>
      </c>
      <c r="H132" s="76">
        <f t="shared" si="9"/>
        <v>15.85</v>
      </c>
      <c r="I132" s="78">
        <v>14.680277777777771</v>
      </c>
      <c r="J132" s="14">
        <v>10.8</v>
      </c>
      <c r="K132" s="14">
        <v>1.5</v>
      </c>
      <c r="L132" s="78">
        <v>6.6740277777777948</v>
      </c>
      <c r="M132" s="84">
        <v>93.4</v>
      </c>
      <c r="N132" s="24">
        <v>36.299999999999997</v>
      </c>
      <c r="O132" s="80">
        <v>62.747222222222362</v>
      </c>
      <c r="P132" s="117">
        <v>1020.8267269750301</v>
      </c>
      <c r="Q132" s="21">
        <v>1015.38315182041</v>
      </c>
      <c r="R132" s="66">
        <v>1018.127417584205</v>
      </c>
      <c r="S132" s="71">
        <v>9.500023612164</v>
      </c>
      <c r="T132" s="61">
        <v>6.8428741507166251</v>
      </c>
      <c r="U132" s="25">
        <v>2.869468110855264</v>
      </c>
      <c r="V132" s="218" t="s">
        <v>242</v>
      </c>
      <c r="W132" s="220"/>
      <c r="X132" s="16">
        <v>0</v>
      </c>
      <c r="Y132" s="17">
        <v>0</v>
      </c>
      <c r="Z132" s="18">
        <v>0</v>
      </c>
      <c r="AA132" s="43">
        <v>0</v>
      </c>
      <c r="AB132" s="319" t="s">
        <v>330</v>
      </c>
    </row>
    <row r="133" spans="1:28" s="20" customFormat="1" x14ac:dyDescent="0.3">
      <c r="A133" s="429">
        <v>44327</v>
      </c>
      <c r="B133" s="40">
        <v>12.4</v>
      </c>
      <c r="C133" s="14">
        <v>27.9</v>
      </c>
      <c r="D133" s="14">
        <v>13.8</v>
      </c>
      <c r="E133" s="14">
        <v>28.5</v>
      </c>
      <c r="F133" s="14">
        <v>5</v>
      </c>
      <c r="G133" s="76">
        <f t="shared" si="8"/>
        <v>23.5</v>
      </c>
      <c r="H133" s="76">
        <f t="shared" si="9"/>
        <v>16.975000000000001</v>
      </c>
      <c r="I133" s="78">
        <v>17.14555555555555</v>
      </c>
      <c r="J133" s="14">
        <v>17.3</v>
      </c>
      <c r="K133" s="14">
        <v>3.7</v>
      </c>
      <c r="L133" s="78">
        <v>10.019236111111114</v>
      </c>
      <c r="M133" s="84">
        <v>94.2</v>
      </c>
      <c r="N133" s="24">
        <v>37.6</v>
      </c>
      <c r="O133" s="80">
        <v>67.132708333333341</v>
      </c>
      <c r="P133" s="117">
        <v>1017.1277743522101</v>
      </c>
      <c r="Q133" s="21">
        <v>1009.07697369254</v>
      </c>
      <c r="R133" s="66">
        <v>1013.3399935146067</v>
      </c>
      <c r="S133" s="71">
        <v>8.2000203810257499</v>
      </c>
      <c r="T133" s="61">
        <v>5.0589411453497357</v>
      </c>
      <c r="U133" s="25">
        <v>1.6790344311510124</v>
      </c>
      <c r="V133" s="218" t="s">
        <v>242</v>
      </c>
      <c r="W133" s="220"/>
      <c r="X133" s="16">
        <v>0</v>
      </c>
      <c r="Y133" s="17">
        <v>0</v>
      </c>
      <c r="Z133" s="18">
        <v>0</v>
      </c>
      <c r="AA133" s="43">
        <v>0</v>
      </c>
      <c r="AB133" s="319" t="s">
        <v>341</v>
      </c>
    </row>
    <row r="134" spans="1:28" s="20" customFormat="1" x14ac:dyDescent="0.3">
      <c r="A134" s="429">
        <v>44328</v>
      </c>
      <c r="B134" s="40">
        <v>13.5</v>
      </c>
      <c r="C134" s="14">
        <v>27.7</v>
      </c>
      <c r="D134" s="14">
        <v>13.6</v>
      </c>
      <c r="E134" s="14">
        <v>29</v>
      </c>
      <c r="F134" s="14">
        <v>6.4</v>
      </c>
      <c r="G134" s="76">
        <f t="shared" si="8"/>
        <v>22.6</v>
      </c>
      <c r="H134" s="76">
        <f t="shared" si="9"/>
        <v>17.100000000000001</v>
      </c>
      <c r="I134" s="78">
        <v>16.912291666666679</v>
      </c>
      <c r="J134" s="14">
        <v>18.899999999999999</v>
      </c>
      <c r="K134" s="14">
        <v>5.3</v>
      </c>
      <c r="L134" s="78">
        <v>11.102291666666662</v>
      </c>
      <c r="M134" s="84">
        <v>95.1</v>
      </c>
      <c r="N134" s="24">
        <v>34.9</v>
      </c>
      <c r="O134" s="80">
        <v>71.935624999999916</v>
      </c>
      <c r="P134" s="117">
        <v>1010.0758657523</v>
      </c>
      <c r="Q134" s="21">
        <v>1002.20923460607</v>
      </c>
      <c r="R134" s="66">
        <v>1005.7494031044528</v>
      </c>
      <c r="S134" s="71">
        <v>10.500026097654944</v>
      </c>
      <c r="T134" s="61">
        <v>8.3473421757632771</v>
      </c>
      <c r="U134" s="25">
        <v>1.6996520247558089</v>
      </c>
      <c r="V134" s="218" t="s">
        <v>233</v>
      </c>
      <c r="W134" s="220" t="s">
        <v>224</v>
      </c>
      <c r="X134" s="16">
        <v>0</v>
      </c>
      <c r="Y134" s="17">
        <v>0</v>
      </c>
      <c r="Z134" s="18">
        <v>0</v>
      </c>
      <c r="AA134" s="43">
        <v>0</v>
      </c>
      <c r="AB134" s="319" t="s">
        <v>342</v>
      </c>
    </row>
    <row r="135" spans="1:28" s="20" customFormat="1" x14ac:dyDescent="0.3">
      <c r="A135" s="429">
        <v>44329</v>
      </c>
      <c r="B135" s="40">
        <v>14</v>
      </c>
      <c r="C135" s="14">
        <v>18</v>
      </c>
      <c r="D135" s="14">
        <v>13.4</v>
      </c>
      <c r="E135" s="14">
        <v>18.2</v>
      </c>
      <c r="F135" s="14">
        <v>9.4</v>
      </c>
      <c r="G135" s="76">
        <f t="shared" si="8"/>
        <v>8.7999999999999989</v>
      </c>
      <c r="H135" s="76">
        <f t="shared" si="9"/>
        <v>14.7</v>
      </c>
      <c r="I135" s="78">
        <v>13.779583333333358</v>
      </c>
      <c r="J135" s="14">
        <v>14.6</v>
      </c>
      <c r="K135" s="14">
        <v>8.1999999999999993</v>
      </c>
      <c r="L135" s="78">
        <v>11.625138888888873</v>
      </c>
      <c r="M135" s="84">
        <v>95.3</v>
      </c>
      <c r="N135" s="24">
        <v>72.2</v>
      </c>
      <c r="O135" s="80">
        <v>87.075277777777814</v>
      </c>
      <c r="P135" s="117">
        <v>1003.06989325353</v>
      </c>
      <c r="Q135" s="21">
        <v>999.58747587057496</v>
      </c>
      <c r="R135" s="66">
        <v>1001.230231811398</v>
      </c>
      <c r="S135" s="71">
        <v>9.2000228665167221</v>
      </c>
      <c r="T135" s="61">
        <v>5.5571566693711114</v>
      </c>
      <c r="U135" s="25">
        <v>2.493175426246903</v>
      </c>
      <c r="V135" s="218" t="s">
        <v>242</v>
      </c>
      <c r="W135" s="221" t="s">
        <v>213</v>
      </c>
      <c r="X135" s="26">
        <v>2.4</v>
      </c>
      <c r="Y135" s="27">
        <v>0.8</v>
      </c>
      <c r="Z135" s="28">
        <v>0</v>
      </c>
      <c r="AA135" s="29">
        <v>0</v>
      </c>
      <c r="AB135" s="320" t="s">
        <v>331</v>
      </c>
    </row>
    <row r="136" spans="1:28" s="20" customFormat="1" x14ac:dyDescent="0.3">
      <c r="A136" s="429">
        <v>44330</v>
      </c>
      <c r="B136" s="40">
        <v>14.8</v>
      </c>
      <c r="C136" s="14">
        <v>15.9</v>
      </c>
      <c r="D136" s="14">
        <v>11.9</v>
      </c>
      <c r="E136" s="14">
        <v>18.3</v>
      </c>
      <c r="F136" s="14">
        <v>11.3</v>
      </c>
      <c r="G136" s="76">
        <f t="shared" si="8"/>
        <v>7</v>
      </c>
      <c r="H136" s="76">
        <f t="shared" si="9"/>
        <v>13.625</v>
      </c>
      <c r="I136" s="78">
        <v>14.124722222222202</v>
      </c>
      <c r="J136" s="14">
        <v>12.7</v>
      </c>
      <c r="K136" s="14">
        <v>10.199999999999999</v>
      </c>
      <c r="L136" s="78">
        <v>11.096527777777759</v>
      </c>
      <c r="M136" s="84">
        <v>93.1</v>
      </c>
      <c r="N136" s="24">
        <v>65.7</v>
      </c>
      <c r="O136" s="80">
        <v>82.444652777777861</v>
      </c>
      <c r="P136" s="117">
        <v>1008.4538681784099</v>
      </c>
      <c r="Q136" s="21">
        <v>1000.7908868915</v>
      </c>
      <c r="R136" s="66">
        <v>1003.5345494034783</v>
      </c>
      <c r="S136" s="71">
        <v>9.2000228665167221</v>
      </c>
      <c r="T136" s="61">
        <v>6.3928730322456939</v>
      </c>
      <c r="U136" s="25">
        <v>2.7833547189116858</v>
      </c>
      <c r="V136" s="218" t="s">
        <v>232</v>
      </c>
      <c r="W136" s="221" t="s">
        <v>213</v>
      </c>
      <c r="X136" s="26">
        <v>2.4</v>
      </c>
      <c r="Y136" s="27">
        <v>1.3</v>
      </c>
      <c r="Z136" s="28">
        <v>0</v>
      </c>
      <c r="AA136" s="29">
        <v>0</v>
      </c>
      <c r="AB136" s="320" t="s">
        <v>331</v>
      </c>
    </row>
    <row r="137" spans="1:28" s="20" customFormat="1" x14ac:dyDescent="0.3">
      <c r="A137" s="429">
        <v>44331</v>
      </c>
      <c r="B137" s="40">
        <v>12.6</v>
      </c>
      <c r="C137" s="14">
        <v>17.100000000000001</v>
      </c>
      <c r="D137" s="14">
        <v>10.7</v>
      </c>
      <c r="E137" s="14">
        <v>19.3</v>
      </c>
      <c r="F137" s="14">
        <v>9.8000000000000007</v>
      </c>
      <c r="G137" s="76">
        <f t="shared" si="8"/>
        <v>9.5</v>
      </c>
      <c r="H137" s="76">
        <f t="shared" si="9"/>
        <v>12.775</v>
      </c>
      <c r="I137" s="78">
        <v>13.796111111111133</v>
      </c>
      <c r="J137" s="14">
        <v>13.3</v>
      </c>
      <c r="K137" s="14">
        <v>8.4</v>
      </c>
      <c r="L137" s="78">
        <v>10.952361111111118</v>
      </c>
      <c r="M137" s="84">
        <v>95.9</v>
      </c>
      <c r="N137" s="24">
        <v>62.5</v>
      </c>
      <c r="O137" s="80">
        <v>83.779305555555553</v>
      </c>
      <c r="P137" s="117">
        <v>1011.30171873752</v>
      </c>
      <c r="Q137" s="21">
        <v>1007.88916241783</v>
      </c>
      <c r="R137" s="66">
        <v>1009.5594506363609</v>
      </c>
      <c r="S137" s="71">
        <v>7.5000186411821108</v>
      </c>
      <c r="T137" s="61">
        <v>4.5223326687604031</v>
      </c>
      <c r="U137" s="25">
        <v>1.594467008658385</v>
      </c>
      <c r="V137" s="218" t="s">
        <v>232</v>
      </c>
      <c r="W137" s="221" t="s">
        <v>213</v>
      </c>
      <c r="X137" s="26">
        <v>16.8</v>
      </c>
      <c r="Y137" s="27">
        <v>16.5</v>
      </c>
      <c r="Z137" s="28">
        <v>0</v>
      </c>
      <c r="AA137" s="29">
        <v>0</v>
      </c>
      <c r="AB137" s="320" t="s">
        <v>209</v>
      </c>
    </row>
    <row r="138" spans="1:28" s="20" customFormat="1" x14ac:dyDescent="0.3">
      <c r="A138" s="429">
        <v>44332</v>
      </c>
      <c r="B138" s="40">
        <v>12.1</v>
      </c>
      <c r="C138" s="14">
        <v>14.6</v>
      </c>
      <c r="D138" s="14">
        <v>12</v>
      </c>
      <c r="E138" s="14">
        <v>15.7</v>
      </c>
      <c r="F138" s="14">
        <v>10.3</v>
      </c>
      <c r="G138" s="76">
        <f t="shared" si="8"/>
        <v>5.3999999999999986</v>
      </c>
      <c r="H138" s="76">
        <f t="shared" si="9"/>
        <v>12.675000000000001</v>
      </c>
      <c r="I138" s="78">
        <v>12.995277777777851</v>
      </c>
      <c r="J138" s="14">
        <v>13.9</v>
      </c>
      <c r="K138" s="14">
        <v>9.1999999999999993</v>
      </c>
      <c r="L138" s="78">
        <v>11.577986111111123</v>
      </c>
      <c r="M138" s="84">
        <v>96.6</v>
      </c>
      <c r="N138" s="24">
        <v>82.5</v>
      </c>
      <c r="O138" s="80">
        <v>91.180347222222224</v>
      </c>
      <c r="P138" s="117">
        <v>1008.85565032454</v>
      </c>
      <c r="Q138" s="21">
        <v>1005.66065401795</v>
      </c>
      <c r="R138" s="66">
        <v>1006.8364339221584</v>
      </c>
      <c r="S138" s="71">
        <v>6.8000169013384442</v>
      </c>
      <c r="T138" s="61">
        <v>4.1857246892692501</v>
      </c>
      <c r="U138" s="25">
        <v>1.1593592803793571</v>
      </c>
      <c r="V138" s="218" t="s">
        <v>232</v>
      </c>
      <c r="W138" s="221" t="s">
        <v>213</v>
      </c>
      <c r="X138" s="26">
        <v>6</v>
      </c>
      <c r="Y138" s="27">
        <v>3.6</v>
      </c>
      <c r="Z138" s="28">
        <v>0</v>
      </c>
      <c r="AA138" s="29">
        <v>0</v>
      </c>
      <c r="AB138" s="320" t="s">
        <v>227</v>
      </c>
    </row>
    <row r="139" spans="1:28" s="20" customFormat="1" x14ac:dyDescent="0.3">
      <c r="A139" s="429">
        <v>44333</v>
      </c>
      <c r="B139" s="40">
        <v>13.3</v>
      </c>
      <c r="C139" s="14">
        <v>20.9</v>
      </c>
      <c r="D139" s="14">
        <v>13.7</v>
      </c>
      <c r="E139" s="14">
        <v>21.2</v>
      </c>
      <c r="F139" s="14">
        <v>10.8</v>
      </c>
      <c r="G139" s="76">
        <f t="shared" si="8"/>
        <v>10.399999999999999</v>
      </c>
      <c r="H139" s="76">
        <f t="shared" si="9"/>
        <v>15.4</v>
      </c>
      <c r="I139" s="78">
        <v>15.099583333333365</v>
      </c>
      <c r="J139" s="14">
        <v>15</v>
      </c>
      <c r="K139" s="14">
        <v>9.9</v>
      </c>
      <c r="L139" s="78">
        <v>11.815902777777833</v>
      </c>
      <c r="M139" s="84">
        <v>95.4</v>
      </c>
      <c r="N139" s="24">
        <v>52.2</v>
      </c>
      <c r="O139" s="80">
        <v>82.032847222222259</v>
      </c>
      <c r="P139" s="117">
        <v>1007.10031622957</v>
      </c>
      <c r="Q139" s="21">
        <v>1000.70176585033</v>
      </c>
      <c r="R139" s="66">
        <v>1003.9452214124623</v>
      </c>
      <c r="S139" s="71">
        <v>7.8000193868293888</v>
      </c>
      <c r="T139" s="61">
        <v>5.1071555509001936</v>
      </c>
      <c r="U139" s="25">
        <v>1.840765983925974</v>
      </c>
      <c r="V139" s="20" t="s">
        <v>231</v>
      </c>
      <c r="W139" s="221" t="s">
        <v>213</v>
      </c>
      <c r="X139" s="26">
        <v>6</v>
      </c>
      <c r="Y139" s="27">
        <v>21.4</v>
      </c>
      <c r="Z139" s="28">
        <v>0</v>
      </c>
      <c r="AA139" s="29">
        <v>0</v>
      </c>
      <c r="AB139" s="320" t="s">
        <v>343</v>
      </c>
    </row>
    <row r="140" spans="1:28" s="20" customFormat="1" x14ac:dyDescent="0.3">
      <c r="A140" s="429">
        <v>44334</v>
      </c>
      <c r="B140" s="40">
        <v>10.5</v>
      </c>
      <c r="C140" s="14">
        <v>12.5</v>
      </c>
      <c r="D140" s="14">
        <v>10.7</v>
      </c>
      <c r="E140" s="14">
        <v>13.3</v>
      </c>
      <c r="F140" s="14">
        <v>10</v>
      </c>
      <c r="G140" s="76">
        <f t="shared" si="8"/>
        <v>3.3000000000000007</v>
      </c>
      <c r="H140" s="76">
        <f t="shared" si="9"/>
        <v>11.1</v>
      </c>
      <c r="I140" s="78">
        <v>11.653402777777817</v>
      </c>
      <c r="J140" s="14">
        <v>12.3</v>
      </c>
      <c r="K140" s="14">
        <v>8.9</v>
      </c>
      <c r="L140" s="78">
        <v>10.357569444444456</v>
      </c>
      <c r="M140" s="84">
        <v>94.9</v>
      </c>
      <c r="N140" s="24">
        <v>86.8</v>
      </c>
      <c r="O140" s="80">
        <v>91.790069444444256</v>
      </c>
      <c r="P140" s="117">
        <v>1009.52310613768</v>
      </c>
      <c r="Q140" s="21">
        <v>1000.0548244405001</v>
      </c>
      <c r="R140" s="66">
        <v>1005.0129249571868</v>
      </c>
      <c r="S140" s="71">
        <v>5.4000134216511109</v>
      </c>
      <c r="T140" s="61">
        <v>2.97857883178375</v>
      </c>
      <c r="U140" s="25">
        <v>0.62136191144905961</v>
      </c>
      <c r="V140" s="218" t="s">
        <v>239</v>
      </c>
      <c r="W140" s="221" t="s">
        <v>265</v>
      </c>
      <c r="X140" s="26">
        <v>3.6</v>
      </c>
      <c r="Y140" s="27">
        <v>5.0999999999999996</v>
      </c>
      <c r="Z140" s="28">
        <v>0</v>
      </c>
      <c r="AA140" s="29">
        <v>0</v>
      </c>
      <c r="AB140" s="320" t="s">
        <v>212</v>
      </c>
    </row>
    <row r="141" spans="1:28" s="20" customFormat="1" x14ac:dyDescent="0.3">
      <c r="A141" s="429">
        <v>44335</v>
      </c>
      <c r="B141" s="40">
        <v>9.5</v>
      </c>
      <c r="C141" s="14">
        <v>20.6</v>
      </c>
      <c r="D141" s="14">
        <v>9.1999999999999993</v>
      </c>
      <c r="E141" s="14">
        <v>22.6</v>
      </c>
      <c r="F141" s="14">
        <v>7</v>
      </c>
      <c r="G141" s="76">
        <f t="shared" si="8"/>
        <v>15.600000000000001</v>
      </c>
      <c r="H141" s="76">
        <f t="shared" si="9"/>
        <v>12.125</v>
      </c>
      <c r="I141" s="78">
        <v>13.31534722222217</v>
      </c>
      <c r="J141" s="14">
        <v>16.3</v>
      </c>
      <c r="K141" s="14">
        <v>6.1</v>
      </c>
      <c r="L141" s="78">
        <v>9.6257638888889137</v>
      </c>
      <c r="M141" s="84">
        <v>97.8</v>
      </c>
      <c r="N141" s="24">
        <v>50.1</v>
      </c>
      <c r="O141" s="80">
        <v>80.044166666666769</v>
      </c>
      <c r="P141" s="117">
        <v>1011.66152438706</v>
      </c>
      <c r="Q141" s="21">
        <v>1008.91890082603</v>
      </c>
      <c r="R141" s="66">
        <v>1010.056443670888</v>
      </c>
      <c r="S141" s="71">
        <v>8.2000203810257499</v>
      </c>
      <c r="T141" s="61">
        <v>4.321439312300166</v>
      </c>
      <c r="U141" s="25">
        <v>1.3006976773087084</v>
      </c>
      <c r="V141" s="218" t="s">
        <v>232</v>
      </c>
      <c r="W141" s="221"/>
      <c r="X141" s="26">
        <v>0</v>
      </c>
      <c r="Y141" s="27">
        <v>0</v>
      </c>
      <c r="Z141" s="28">
        <v>0</v>
      </c>
      <c r="AA141" s="29">
        <v>0</v>
      </c>
      <c r="AB141" s="320" t="s">
        <v>270</v>
      </c>
    </row>
    <row r="142" spans="1:28" s="20" customFormat="1" x14ac:dyDescent="0.3">
      <c r="A142" s="429">
        <v>44336</v>
      </c>
      <c r="B142" s="40">
        <v>11.6</v>
      </c>
      <c r="C142" s="14">
        <v>16.5</v>
      </c>
      <c r="D142" s="14">
        <v>10.5</v>
      </c>
      <c r="E142" s="14">
        <v>20</v>
      </c>
      <c r="F142" s="14">
        <v>5.0999999999999996</v>
      </c>
      <c r="G142" s="76">
        <f t="shared" si="8"/>
        <v>14.9</v>
      </c>
      <c r="H142" s="76">
        <f t="shared" si="9"/>
        <v>12.275</v>
      </c>
      <c r="I142" s="78">
        <v>12.173333333333332</v>
      </c>
      <c r="J142" s="14">
        <v>13.8</v>
      </c>
      <c r="K142" s="14">
        <v>3.6</v>
      </c>
      <c r="L142" s="78">
        <v>7.8663194444444411</v>
      </c>
      <c r="M142" s="84">
        <v>96.2</v>
      </c>
      <c r="N142" s="24">
        <v>53.9</v>
      </c>
      <c r="O142" s="80">
        <v>76.359791666666567</v>
      </c>
      <c r="P142" s="117">
        <v>1016.37815133613</v>
      </c>
      <c r="Q142" s="21">
        <v>1011.35168225665</v>
      </c>
      <c r="R142" s="66">
        <v>1012.6402852564058</v>
      </c>
      <c r="S142" s="71">
        <v>10.900027091851305</v>
      </c>
      <c r="T142" s="61">
        <v>5.7142999170911253</v>
      </c>
      <c r="U142" s="25">
        <v>1.9642823292837588</v>
      </c>
      <c r="V142" s="218" t="s">
        <v>237</v>
      </c>
      <c r="W142" s="221" t="s">
        <v>224</v>
      </c>
      <c r="X142" s="26">
        <v>0</v>
      </c>
      <c r="Y142" s="27">
        <v>0</v>
      </c>
      <c r="Z142" s="28">
        <v>0</v>
      </c>
      <c r="AA142" s="29">
        <v>0</v>
      </c>
      <c r="AB142" s="320" t="s">
        <v>331</v>
      </c>
    </row>
    <row r="143" spans="1:28" s="20" customFormat="1" ht="28.8" x14ac:dyDescent="0.3">
      <c r="A143" s="429">
        <v>44337</v>
      </c>
      <c r="B143" s="40">
        <v>10.8</v>
      </c>
      <c r="C143" s="14">
        <v>20.8</v>
      </c>
      <c r="D143" s="14">
        <v>15.6</v>
      </c>
      <c r="E143" s="14">
        <v>21.8</v>
      </c>
      <c r="F143" s="14">
        <v>2.4</v>
      </c>
      <c r="G143" s="76">
        <f t="shared" si="8"/>
        <v>19.400000000000002</v>
      </c>
      <c r="H143" s="76">
        <f t="shared" si="9"/>
        <v>15.7</v>
      </c>
      <c r="I143" s="78">
        <v>13.765277777777717</v>
      </c>
      <c r="J143" s="14">
        <v>11.6</v>
      </c>
      <c r="K143" s="14">
        <v>1.2</v>
      </c>
      <c r="L143" s="78">
        <v>6.8284722222222314</v>
      </c>
      <c r="M143" s="84">
        <v>95.1</v>
      </c>
      <c r="N143" s="24">
        <v>40.700000000000003</v>
      </c>
      <c r="O143" s="80">
        <v>66.073819444444453</v>
      </c>
      <c r="P143" s="117">
        <v>1017.57724061856</v>
      </c>
      <c r="Q143" s="21">
        <v>1011.38892390259</v>
      </c>
      <c r="R143" s="66">
        <v>1014.342946863903</v>
      </c>
      <c r="S143" s="71">
        <v>12.600031317185945</v>
      </c>
      <c r="T143" s="61">
        <v>8.0428771333057636</v>
      </c>
      <c r="U143" s="25">
        <v>2.612153069847623</v>
      </c>
      <c r="V143" s="218" t="s">
        <v>232</v>
      </c>
      <c r="W143" s="221"/>
      <c r="X143" s="26">
        <v>0</v>
      </c>
      <c r="Y143" s="27">
        <v>0</v>
      </c>
      <c r="Z143" s="28">
        <v>0</v>
      </c>
      <c r="AA143" s="29">
        <v>0</v>
      </c>
      <c r="AB143" s="320" t="s">
        <v>344</v>
      </c>
    </row>
    <row r="144" spans="1:28" s="20" customFormat="1" x14ac:dyDescent="0.3">
      <c r="A144" s="429">
        <v>44338</v>
      </c>
      <c r="B144" s="40">
        <v>14.7</v>
      </c>
      <c r="C144" s="14">
        <v>15.2</v>
      </c>
      <c r="D144" s="14">
        <v>12.2</v>
      </c>
      <c r="E144" s="14">
        <v>16.8</v>
      </c>
      <c r="F144" s="14">
        <v>7.6</v>
      </c>
      <c r="G144" s="76">
        <f t="shared" si="8"/>
        <v>9.2000000000000011</v>
      </c>
      <c r="H144" s="76">
        <f t="shared" si="9"/>
        <v>13.574999999999999</v>
      </c>
      <c r="I144" s="78">
        <v>14.083819444444412</v>
      </c>
      <c r="J144" s="14">
        <v>11.6</v>
      </c>
      <c r="K144" s="14">
        <v>6.1</v>
      </c>
      <c r="L144" s="78">
        <v>9.5319444444444823</v>
      </c>
      <c r="M144" s="84">
        <v>90</v>
      </c>
      <c r="N144" s="24">
        <v>65.2</v>
      </c>
      <c r="O144" s="80">
        <v>74.298333333333375</v>
      </c>
      <c r="P144" s="117">
        <v>1013.95265953718</v>
      </c>
      <c r="Q144" s="21">
        <v>1009.81551409522</v>
      </c>
      <c r="R144" s="66">
        <v>1010.8015948443626</v>
      </c>
      <c r="S144" s="71">
        <v>10.900027091851305</v>
      </c>
      <c r="T144" s="61">
        <v>6.5428734050693329</v>
      </c>
      <c r="U144" s="25">
        <v>3.4197009599321104</v>
      </c>
      <c r="V144" s="218" t="s">
        <v>231</v>
      </c>
      <c r="W144" s="221"/>
      <c r="X144" s="26">
        <v>0</v>
      </c>
      <c r="Y144" s="27">
        <v>0</v>
      </c>
      <c r="Z144" s="28">
        <v>0</v>
      </c>
      <c r="AA144" s="29">
        <v>0</v>
      </c>
      <c r="AB144" s="320" t="s">
        <v>211</v>
      </c>
    </row>
    <row r="145" spans="1:28" s="20" customFormat="1" x14ac:dyDescent="0.3">
      <c r="A145" s="429">
        <v>44339</v>
      </c>
      <c r="B145" s="40">
        <v>9.4</v>
      </c>
      <c r="C145" s="14">
        <v>16.100000000000001</v>
      </c>
      <c r="D145" s="14">
        <v>10.3</v>
      </c>
      <c r="E145" s="14">
        <v>17.2</v>
      </c>
      <c r="F145" s="14">
        <v>3.6</v>
      </c>
      <c r="G145" s="76">
        <f t="shared" si="8"/>
        <v>13.6</v>
      </c>
      <c r="H145" s="76">
        <f t="shared" si="9"/>
        <v>11.525</v>
      </c>
      <c r="I145" s="78">
        <v>10.927131782945745</v>
      </c>
      <c r="J145" s="14">
        <v>12.3</v>
      </c>
      <c r="K145" s="14">
        <v>2.5</v>
      </c>
      <c r="L145" s="78">
        <v>8.0389711064129781</v>
      </c>
      <c r="M145" s="84">
        <v>95.3</v>
      </c>
      <c r="N145" s="24">
        <v>58.1</v>
      </c>
      <c r="O145" s="80">
        <v>83.395207892882453</v>
      </c>
      <c r="P145" s="117">
        <v>1019.1857355719</v>
      </c>
      <c r="Q145" s="21">
        <v>1013.92128917502</v>
      </c>
      <c r="R145" s="66">
        <v>1015.5091238557252</v>
      </c>
      <c r="S145" s="71">
        <v>6.8000169013384442</v>
      </c>
      <c r="T145" s="61">
        <v>4.1553674709597086</v>
      </c>
      <c r="U145" s="25">
        <v>1.274842516105364</v>
      </c>
      <c r="V145" s="218" t="s">
        <v>233</v>
      </c>
      <c r="W145" s="221" t="s">
        <v>213</v>
      </c>
      <c r="X145" s="26">
        <v>3.6</v>
      </c>
      <c r="Y145" s="27">
        <v>2</v>
      </c>
      <c r="Z145" s="28">
        <v>0</v>
      </c>
      <c r="AA145" s="29">
        <v>0</v>
      </c>
      <c r="AB145" s="320" t="s">
        <v>270</v>
      </c>
    </row>
    <row r="146" spans="1:28" s="20" customFormat="1" x14ac:dyDescent="0.3">
      <c r="A146" s="429">
        <v>44340</v>
      </c>
      <c r="B146" s="40">
        <v>11.2</v>
      </c>
      <c r="C146" s="14">
        <v>19.3</v>
      </c>
      <c r="D146" s="14">
        <v>14.7</v>
      </c>
      <c r="E146" s="14">
        <v>20.2</v>
      </c>
      <c r="F146" s="14">
        <v>5.0999999999999996</v>
      </c>
      <c r="G146" s="76">
        <f t="shared" si="8"/>
        <v>15.1</v>
      </c>
      <c r="H146" s="76">
        <f t="shared" si="9"/>
        <v>14.975</v>
      </c>
      <c r="I146" s="78">
        <v>13.631736111111099</v>
      </c>
      <c r="J146" s="14">
        <v>13.6</v>
      </c>
      <c r="K146" s="14">
        <v>4.0999999999999996</v>
      </c>
      <c r="L146" s="78">
        <v>9.3386111111110921</v>
      </c>
      <c r="M146" s="84">
        <v>96</v>
      </c>
      <c r="N146" s="24">
        <v>51.7</v>
      </c>
      <c r="O146" s="80">
        <v>76.857430555555638</v>
      </c>
      <c r="P146" s="117">
        <v>1024.1940051198301</v>
      </c>
      <c r="Q146" s="21">
        <v>1017.90296731562</v>
      </c>
      <c r="R146" s="66">
        <v>1021.1656798479297</v>
      </c>
      <c r="S146" s="71">
        <v>7.8000193868293888</v>
      </c>
      <c r="T146" s="61">
        <v>4.9571551780765555</v>
      </c>
      <c r="U146" s="25">
        <v>1.6606564092822429</v>
      </c>
      <c r="V146" s="218" t="s">
        <v>303</v>
      </c>
      <c r="W146" s="221" t="s">
        <v>213</v>
      </c>
      <c r="X146" s="26">
        <v>10.8</v>
      </c>
      <c r="Y146" s="27">
        <v>2.9</v>
      </c>
      <c r="Z146" s="28">
        <v>0</v>
      </c>
      <c r="AA146" s="29">
        <v>0</v>
      </c>
      <c r="AB146" s="322" t="s">
        <v>270</v>
      </c>
    </row>
    <row r="147" spans="1:28" s="20" customFormat="1" x14ac:dyDescent="0.3">
      <c r="A147" s="429">
        <v>44341</v>
      </c>
      <c r="B147" s="40">
        <v>13.5</v>
      </c>
      <c r="C147" s="14">
        <v>22.8</v>
      </c>
      <c r="D147" s="14">
        <v>11.1</v>
      </c>
      <c r="E147" s="14">
        <v>23.3</v>
      </c>
      <c r="F147" s="14">
        <v>9.6999999999999993</v>
      </c>
      <c r="G147" s="76">
        <f t="shared" si="8"/>
        <v>13.600000000000001</v>
      </c>
      <c r="H147" s="76">
        <f t="shared" si="9"/>
        <v>14.625</v>
      </c>
      <c r="I147" s="78">
        <v>14.726388888888851</v>
      </c>
      <c r="J147" s="14">
        <v>17.7</v>
      </c>
      <c r="K147" s="14">
        <v>8.1999999999999993</v>
      </c>
      <c r="L147" s="78">
        <v>11.903888888888851</v>
      </c>
      <c r="M147" s="84">
        <v>97.7</v>
      </c>
      <c r="N147" s="24">
        <v>65.900000000000006</v>
      </c>
      <c r="O147" s="80">
        <v>83.812013888888814</v>
      </c>
      <c r="P147" s="117">
        <v>1018.81266670232</v>
      </c>
      <c r="Q147" s="21">
        <v>1011.26478040622</v>
      </c>
      <c r="R147" s="66">
        <v>1014.4440024726505</v>
      </c>
      <c r="S147" s="71">
        <v>5.8000144158475004</v>
      </c>
      <c r="T147" s="61">
        <v>3.9571526925855971</v>
      </c>
      <c r="U147" s="25">
        <v>1.6345898762403051</v>
      </c>
      <c r="V147" s="218" t="s">
        <v>237</v>
      </c>
      <c r="W147" s="221"/>
      <c r="X147" s="26">
        <v>0</v>
      </c>
      <c r="Y147" s="27">
        <v>0</v>
      </c>
      <c r="Z147" s="28">
        <v>0</v>
      </c>
      <c r="AA147" s="29">
        <v>0</v>
      </c>
      <c r="AB147" s="320" t="s">
        <v>348</v>
      </c>
    </row>
    <row r="148" spans="1:28" s="20" customFormat="1" x14ac:dyDescent="0.3">
      <c r="A148" s="429">
        <v>44342</v>
      </c>
      <c r="B148" s="40">
        <v>10</v>
      </c>
      <c r="C148" s="14">
        <v>21.1</v>
      </c>
      <c r="D148" s="14">
        <v>13.7</v>
      </c>
      <c r="E148" s="14">
        <v>22.4</v>
      </c>
      <c r="F148" s="14">
        <v>4.2</v>
      </c>
      <c r="G148" s="76">
        <f t="shared" si="8"/>
        <v>18.2</v>
      </c>
      <c r="H148" s="76">
        <f t="shared" si="9"/>
        <v>14.625</v>
      </c>
      <c r="I148" s="78">
        <v>14.101388888888893</v>
      </c>
      <c r="J148" s="14">
        <v>11.4</v>
      </c>
      <c r="K148" s="14">
        <v>3</v>
      </c>
      <c r="L148" s="78">
        <v>7.3609027777777696</v>
      </c>
      <c r="M148" s="84">
        <v>95.5</v>
      </c>
      <c r="N148" s="24">
        <v>35.1</v>
      </c>
      <c r="O148" s="80">
        <v>67.578680555555565</v>
      </c>
      <c r="P148" s="117">
        <v>1021.84191792541</v>
      </c>
      <c r="Q148" s="21">
        <v>1014.7987722609701</v>
      </c>
      <c r="R148" s="66">
        <v>1018.3373724309895</v>
      </c>
      <c r="S148" s="71">
        <v>7.8000193868293888</v>
      </c>
      <c r="T148" s="61">
        <v>5.2428701739311112</v>
      </c>
      <c r="U148" s="25">
        <v>1.8262570192927368</v>
      </c>
      <c r="V148" s="218" t="s">
        <v>268</v>
      </c>
      <c r="W148" s="221"/>
      <c r="X148" s="26">
        <v>0</v>
      </c>
      <c r="Y148" s="27">
        <v>0</v>
      </c>
      <c r="Z148" s="28">
        <v>0</v>
      </c>
      <c r="AA148" s="29">
        <v>0</v>
      </c>
      <c r="AB148" s="320" t="s">
        <v>349</v>
      </c>
    </row>
    <row r="149" spans="1:28" s="20" customFormat="1" x14ac:dyDescent="0.3">
      <c r="A149" s="429">
        <v>44343</v>
      </c>
      <c r="B149" s="40">
        <v>11.9</v>
      </c>
      <c r="C149" s="14">
        <v>25.1</v>
      </c>
      <c r="D149" s="14">
        <v>13.3</v>
      </c>
      <c r="E149" s="14">
        <v>25.8</v>
      </c>
      <c r="F149" s="14">
        <v>3.9</v>
      </c>
      <c r="G149" s="76">
        <f t="shared" si="8"/>
        <v>21.900000000000002</v>
      </c>
      <c r="H149" s="76">
        <f t="shared" si="9"/>
        <v>15.9</v>
      </c>
      <c r="I149" s="78">
        <v>14.740624999999962</v>
      </c>
      <c r="J149" s="14">
        <v>14.9</v>
      </c>
      <c r="K149" s="14">
        <v>2.7</v>
      </c>
      <c r="L149" s="78">
        <v>9.2251388888889014</v>
      </c>
      <c r="M149" s="84">
        <v>94.8</v>
      </c>
      <c r="N149" s="24">
        <v>39</v>
      </c>
      <c r="O149" s="80">
        <v>72.668819444444367</v>
      </c>
      <c r="P149" s="117">
        <v>1016.40539579514</v>
      </c>
      <c r="Q149" s="21">
        <v>1012.08714334614</v>
      </c>
      <c r="R149" s="66">
        <v>1014.7684325091715</v>
      </c>
      <c r="S149" s="71">
        <v>9.2000228665167221</v>
      </c>
      <c r="T149" s="61">
        <v>5.4928707953038476</v>
      </c>
      <c r="U149" s="25">
        <v>1.2591301136757034</v>
      </c>
      <c r="V149" s="218" t="s">
        <v>237</v>
      </c>
      <c r="W149" s="221"/>
      <c r="X149" s="26">
        <v>0</v>
      </c>
      <c r="Y149" s="27">
        <v>0</v>
      </c>
      <c r="Z149" s="28">
        <v>0</v>
      </c>
      <c r="AA149" s="29">
        <v>0</v>
      </c>
      <c r="AB149" s="320" t="s">
        <v>287</v>
      </c>
    </row>
    <row r="150" spans="1:28" s="20" customFormat="1" x14ac:dyDescent="0.3">
      <c r="A150" s="429">
        <v>44344</v>
      </c>
      <c r="B150" s="40">
        <v>13.4</v>
      </c>
      <c r="C150" s="14">
        <v>19.399999999999999</v>
      </c>
      <c r="D150" s="14">
        <v>10.8</v>
      </c>
      <c r="E150" s="14">
        <v>22.1</v>
      </c>
      <c r="F150" s="14">
        <v>10</v>
      </c>
      <c r="G150" s="76">
        <f t="shared" si="8"/>
        <v>12.100000000000001</v>
      </c>
      <c r="H150" s="76">
        <f t="shared" si="9"/>
        <v>13.6</v>
      </c>
      <c r="I150" s="78">
        <v>14.841944444444435</v>
      </c>
      <c r="J150" s="14">
        <v>14.5</v>
      </c>
      <c r="K150" s="14">
        <v>7.2</v>
      </c>
      <c r="L150" s="78">
        <v>10.060069444444446</v>
      </c>
      <c r="M150" s="84">
        <v>89.7</v>
      </c>
      <c r="N150" s="24">
        <v>52.5</v>
      </c>
      <c r="O150" s="80">
        <v>74.2100694444445</v>
      </c>
      <c r="P150" s="117">
        <v>1018.04643968716</v>
      </c>
      <c r="Q150" s="21">
        <v>1015.0106560251201</v>
      </c>
      <c r="R150" s="66">
        <v>1016.3054693800831</v>
      </c>
      <c r="S150" s="71">
        <v>8.8000218723203325</v>
      </c>
      <c r="T150" s="61">
        <v>5.4142991714438331</v>
      </c>
      <c r="U150" s="25">
        <v>1.8654684262759003</v>
      </c>
      <c r="V150" s="218" t="s">
        <v>240</v>
      </c>
      <c r="W150" s="221"/>
      <c r="X150" s="26">
        <v>0</v>
      </c>
      <c r="Y150" s="27">
        <v>0</v>
      </c>
      <c r="Z150" s="28">
        <v>0</v>
      </c>
      <c r="AA150" s="29">
        <v>0</v>
      </c>
      <c r="AB150" s="320" t="s">
        <v>211</v>
      </c>
    </row>
    <row r="151" spans="1:28" s="20" customFormat="1" x14ac:dyDescent="0.3">
      <c r="A151" s="429">
        <v>44345</v>
      </c>
      <c r="B151" s="40">
        <v>14.4</v>
      </c>
      <c r="C151" s="14">
        <v>15.5</v>
      </c>
      <c r="D151" s="14">
        <v>9.1999999999999993</v>
      </c>
      <c r="E151" s="14">
        <v>20</v>
      </c>
      <c r="F151" s="14">
        <v>8.4</v>
      </c>
      <c r="G151" s="76">
        <f t="shared" si="8"/>
        <v>11.6</v>
      </c>
      <c r="H151" s="76">
        <f t="shared" si="9"/>
        <v>12.074999999999999</v>
      </c>
      <c r="I151" s="78">
        <v>12.608125000000019</v>
      </c>
      <c r="J151" s="14">
        <v>13.8</v>
      </c>
      <c r="K151" s="14">
        <v>7.1</v>
      </c>
      <c r="L151" s="78">
        <v>9.2997916666666729</v>
      </c>
      <c r="M151" s="84">
        <v>91.6</v>
      </c>
      <c r="N151" s="24">
        <v>64.3</v>
      </c>
      <c r="O151" s="80">
        <v>80.85347222222218</v>
      </c>
      <c r="P151" s="117">
        <v>1018.61213156955</v>
      </c>
      <c r="Q151" s="21">
        <v>1016.4691447853299</v>
      </c>
      <c r="R151" s="66">
        <v>1017.5307499963025</v>
      </c>
      <c r="S151" s="71">
        <v>9.2000228665167221</v>
      </c>
      <c r="T151" s="61">
        <v>4.2794749222840132</v>
      </c>
      <c r="U151" s="25">
        <v>1.4649011277619282</v>
      </c>
      <c r="V151" s="218" t="s">
        <v>240</v>
      </c>
      <c r="W151" s="221" t="s">
        <v>213</v>
      </c>
      <c r="X151" s="26">
        <v>3.6</v>
      </c>
      <c r="Y151" s="27">
        <v>2</v>
      </c>
      <c r="Z151" s="28">
        <v>0</v>
      </c>
      <c r="AA151" s="29">
        <v>0</v>
      </c>
      <c r="AB151" s="320" t="s">
        <v>331</v>
      </c>
    </row>
    <row r="152" spans="1:28" s="20" customFormat="1" x14ac:dyDescent="0.3">
      <c r="A152" s="429">
        <v>44346</v>
      </c>
      <c r="B152" s="40">
        <v>11.5</v>
      </c>
      <c r="C152" s="14">
        <v>13.7</v>
      </c>
      <c r="D152" s="14">
        <v>10.199999999999999</v>
      </c>
      <c r="E152" s="14">
        <v>14.9</v>
      </c>
      <c r="F152" s="14">
        <v>6.9</v>
      </c>
      <c r="G152" s="76">
        <f t="shared" si="8"/>
        <v>8</v>
      </c>
      <c r="H152" s="76">
        <f t="shared" si="9"/>
        <v>11.399999999999999</v>
      </c>
      <c r="I152" s="78">
        <v>11.031736111111153</v>
      </c>
      <c r="J152" s="14">
        <v>12.4</v>
      </c>
      <c r="K152" s="14">
        <v>5.8</v>
      </c>
      <c r="L152" s="78">
        <v>9.1836111111110892</v>
      </c>
      <c r="M152" s="84">
        <v>94.7</v>
      </c>
      <c r="N152" s="24">
        <v>78.2</v>
      </c>
      <c r="O152" s="80">
        <v>88.525972222222151</v>
      </c>
      <c r="P152" s="117">
        <v>1019.96780891226</v>
      </c>
      <c r="Q152" s="21">
        <v>1017.80903372144</v>
      </c>
      <c r="R152" s="66">
        <v>1018.6982440723336</v>
      </c>
      <c r="S152" s="71">
        <v>7.1000176469857221</v>
      </c>
      <c r="T152" s="61">
        <v>3.7473307425049165</v>
      </c>
      <c r="U152" s="25">
        <v>1.3214740186305312</v>
      </c>
      <c r="V152" s="218" t="s">
        <v>240</v>
      </c>
      <c r="W152" s="221" t="s">
        <v>213</v>
      </c>
      <c r="X152" s="26">
        <v>4.8</v>
      </c>
      <c r="Y152" s="27">
        <v>2.8</v>
      </c>
      <c r="Z152" s="28">
        <v>0</v>
      </c>
      <c r="AA152" s="29">
        <v>0</v>
      </c>
      <c r="AB152" s="320" t="s">
        <v>227</v>
      </c>
    </row>
    <row r="153" spans="1:28" s="315" customFormat="1" ht="15" thickBot="1" x14ac:dyDescent="0.35">
      <c r="A153" s="430">
        <v>44347</v>
      </c>
      <c r="B153" s="41">
        <v>11.2</v>
      </c>
      <c r="C153" s="22">
        <v>20.3</v>
      </c>
      <c r="D153" s="22">
        <v>8.6999999999999993</v>
      </c>
      <c r="E153" s="22">
        <v>21.2</v>
      </c>
      <c r="F153" s="22">
        <v>6.4</v>
      </c>
      <c r="G153" s="22">
        <f>E153-F153</f>
        <v>14.799999999999999</v>
      </c>
      <c r="H153" s="22">
        <f>(B153+C153+2*D153)/4</f>
        <v>12.225</v>
      </c>
      <c r="I153" s="79">
        <v>12.621597222222185</v>
      </c>
      <c r="J153" s="22">
        <v>13.6</v>
      </c>
      <c r="K153" s="22">
        <v>5.0999999999999996</v>
      </c>
      <c r="L153" s="79">
        <v>9.3736805555555147</v>
      </c>
      <c r="M153" s="85">
        <v>95.2</v>
      </c>
      <c r="N153" s="67">
        <v>48.1</v>
      </c>
      <c r="O153" s="81">
        <v>81.994166666666487</v>
      </c>
      <c r="P153" s="118">
        <v>1020.0441987001</v>
      </c>
      <c r="Q153" s="68">
        <v>1016.45279320655</v>
      </c>
      <c r="R153" s="69">
        <v>1018.2650068191019</v>
      </c>
      <c r="S153" s="73">
        <v>10.500026097654944</v>
      </c>
      <c r="T153" s="63">
        <v>6.7526953551500277</v>
      </c>
      <c r="U153" s="42">
        <v>1.5252022035652595</v>
      </c>
      <c r="V153" s="222" t="s">
        <v>240</v>
      </c>
      <c r="W153" s="223" t="s">
        <v>213</v>
      </c>
      <c r="X153" s="44">
        <v>4.8</v>
      </c>
      <c r="Y153" s="45">
        <v>2</v>
      </c>
      <c r="Z153" s="46">
        <v>0</v>
      </c>
      <c r="AA153" s="47">
        <v>0</v>
      </c>
      <c r="AB153" s="321" t="s">
        <v>350</v>
      </c>
    </row>
    <row r="154" spans="1:28" s="34" customFormat="1" x14ac:dyDescent="0.3">
      <c r="A154" s="39">
        <v>44348</v>
      </c>
      <c r="B154" s="75">
        <v>10.8</v>
      </c>
      <c r="C154" s="30">
        <v>19.100000000000001</v>
      </c>
      <c r="D154" s="30">
        <v>11.7</v>
      </c>
      <c r="E154" s="30">
        <v>21.4</v>
      </c>
      <c r="F154" s="30">
        <v>3</v>
      </c>
      <c r="G154" s="76">
        <f>E154-F154</f>
        <v>18.399999999999999</v>
      </c>
      <c r="H154" s="76">
        <f>(B154+C154+2*D154)/4</f>
        <v>13.324999999999999</v>
      </c>
      <c r="I154" s="83">
        <v>12.728111888111892</v>
      </c>
      <c r="J154" s="30">
        <v>12.5</v>
      </c>
      <c r="K154" s="30">
        <v>2</v>
      </c>
      <c r="L154" s="83">
        <v>7.2216783216783318</v>
      </c>
      <c r="M154" s="114">
        <v>96.2</v>
      </c>
      <c r="N154" s="31">
        <v>44.9</v>
      </c>
      <c r="O154" s="109">
        <v>71.605524475524547</v>
      </c>
      <c r="P154" s="119">
        <v>1020.07116653957</v>
      </c>
      <c r="Q154" s="32">
        <v>1016.3218322987</v>
      </c>
      <c r="R154" s="70">
        <v>1017.6526463337211</v>
      </c>
      <c r="S154" s="111">
        <v>8.2000203810257499</v>
      </c>
      <c r="T154" s="33">
        <v>4.7767975869433608</v>
      </c>
      <c r="U154" s="33">
        <v>1.5263071170257902</v>
      </c>
      <c r="V154" s="216" t="s">
        <v>237</v>
      </c>
      <c r="W154" s="224"/>
      <c r="X154" s="105">
        <v>0</v>
      </c>
      <c r="Y154" s="106">
        <v>0</v>
      </c>
      <c r="Z154" s="107">
        <v>0</v>
      </c>
      <c r="AA154" s="112">
        <v>0</v>
      </c>
      <c r="AB154" s="318" t="s">
        <v>333</v>
      </c>
    </row>
    <row r="155" spans="1:28" s="20" customFormat="1" x14ac:dyDescent="0.3">
      <c r="A155" s="39">
        <v>44349</v>
      </c>
      <c r="B155" s="40">
        <v>11.1</v>
      </c>
      <c r="C155" s="14">
        <v>19.100000000000001</v>
      </c>
      <c r="D155" s="14">
        <v>9.3000000000000007</v>
      </c>
      <c r="E155" s="14">
        <v>22.4</v>
      </c>
      <c r="F155" s="14">
        <v>3.1</v>
      </c>
      <c r="G155" s="76">
        <f>E155-F155</f>
        <v>19.299999999999997</v>
      </c>
      <c r="H155" s="76">
        <f>(B155+C155+2*D155)/4</f>
        <v>12.200000000000001</v>
      </c>
      <c r="I155" s="78">
        <v>12.753125000000001</v>
      </c>
      <c r="J155" s="14">
        <v>12.1</v>
      </c>
      <c r="K155" s="14">
        <v>1.9</v>
      </c>
      <c r="L155" s="78">
        <v>6.8679861111111071</v>
      </c>
      <c r="M155" s="84">
        <v>94.3</v>
      </c>
      <c r="N155" s="24">
        <v>38.4</v>
      </c>
      <c r="O155" s="80">
        <v>70.386527777777829</v>
      </c>
      <c r="P155" s="117">
        <v>1024.2303108388501</v>
      </c>
      <c r="Q155" s="21">
        <v>1020.0919133052899</v>
      </c>
      <c r="R155" s="66">
        <v>1021.4466139708173</v>
      </c>
      <c r="S155" s="71">
        <v>7.5000186411821108</v>
      </c>
      <c r="T155" s="61">
        <v>4.750011806082</v>
      </c>
      <c r="U155" s="25">
        <v>1.4949603888467253</v>
      </c>
      <c r="V155" s="218" t="s">
        <v>236</v>
      </c>
      <c r="W155" s="219"/>
      <c r="X155" s="16">
        <v>0</v>
      </c>
      <c r="Y155" s="17">
        <v>0</v>
      </c>
      <c r="Z155" s="18">
        <v>0</v>
      </c>
      <c r="AA155" s="43">
        <v>0</v>
      </c>
      <c r="AB155" s="319" t="s">
        <v>351</v>
      </c>
    </row>
    <row r="156" spans="1:28" s="20" customFormat="1" x14ac:dyDescent="0.3">
      <c r="A156" s="39">
        <v>44350</v>
      </c>
      <c r="B156" s="40">
        <v>11.7</v>
      </c>
      <c r="C156" s="14">
        <v>25</v>
      </c>
      <c r="D156" s="14">
        <v>13</v>
      </c>
      <c r="E156" s="14">
        <v>26</v>
      </c>
      <c r="F156" s="14">
        <v>3</v>
      </c>
      <c r="G156" s="76">
        <f t="shared" ref="G156:G181" si="10">E156-F156</f>
        <v>23</v>
      </c>
      <c r="H156" s="76">
        <f t="shared" ref="H156:H181" si="11">(B156+C156+2*D156)/4</f>
        <v>15.675000000000001</v>
      </c>
      <c r="I156" s="78">
        <v>14.996944444444459</v>
      </c>
      <c r="J156" s="14">
        <v>14</v>
      </c>
      <c r="K156" s="14">
        <v>1.8</v>
      </c>
      <c r="L156" s="78">
        <v>8.0501388888888776</v>
      </c>
      <c r="M156" s="84">
        <v>94.4</v>
      </c>
      <c r="N156" s="24">
        <v>36</v>
      </c>
      <c r="O156" s="80">
        <v>67.016180555555749</v>
      </c>
      <c r="P156" s="117">
        <v>1025.41032172018</v>
      </c>
      <c r="Q156" s="21">
        <v>1022.2035520555301</v>
      </c>
      <c r="R156" s="66">
        <v>1023.8454669801985</v>
      </c>
      <c r="S156" s="71">
        <v>7.1000176469857221</v>
      </c>
      <c r="T156" s="61">
        <v>4.4428681855383472</v>
      </c>
      <c r="U156" s="25">
        <v>1.450202017153438</v>
      </c>
      <c r="V156" s="218" t="s">
        <v>236</v>
      </c>
      <c r="W156" s="219"/>
      <c r="X156" s="16">
        <v>0</v>
      </c>
      <c r="Y156" s="17">
        <v>0</v>
      </c>
      <c r="Z156" s="18">
        <v>0</v>
      </c>
      <c r="AA156" s="43">
        <v>0</v>
      </c>
      <c r="AB156" s="319" t="s">
        <v>352</v>
      </c>
    </row>
    <row r="157" spans="1:28" s="20" customFormat="1" x14ac:dyDescent="0.3">
      <c r="A157" s="39">
        <v>44351</v>
      </c>
      <c r="B157" s="40">
        <v>13.7</v>
      </c>
      <c r="C157" s="14">
        <v>27</v>
      </c>
      <c r="D157" s="14">
        <v>13.8</v>
      </c>
      <c r="E157" s="14">
        <v>27.6</v>
      </c>
      <c r="F157" s="14">
        <v>4.8</v>
      </c>
      <c r="G157" s="76">
        <f t="shared" si="10"/>
        <v>22.8</v>
      </c>
      <c r="H157" s="76">
        <f t="shared" si="11"/>
        <v>17.075000000000003</v>
      </c>
      <c r="I157" s="78">
        <v>16.784583333333327</v>
      </c>
      <c r="J157" s="14">
        <v>14.9</v>
      </c>
      <c r="K157" s="14">
        <v>3.6</v>
      </c>
      <c r="L157" s="78">
        <v>9.210208333333318</v>
      </c>
      <c r="M157" s="84">
        <v>94.2</v>
      </c>
      <c r="N157" s="24">
        <v>31.8</v>
      </c>
      <c r="O157" s="80">
        <v>65.736527777777837</v>
      </c>
      <c r="P157" s="117">
        <v>1025.8780664557701</v>
      </c>
      <c r="Q157" s="21">
        <v>1021.32841565633</v>
      </c>
      <c r="R157" s="66">
        <v>1023.6086984373674</v>
      </c>
      <c r="S157" s="72">
        <v>5.4000134216511109</v>
      </c>
      <c r="T157" s="62">
        <v>2.8383999119425996</v>
      </c>
      <c r="U157" s="19">
        <v>1.0944616323047542</v>
      </c>
      <c r="V157" s="218" t="s">
        <v>236</v>
      </c>
      <c r="W157" s="220"/>
      <c r="X157" s="16">
        <v>0</v>
      </c>
      <c r="Y157" s="17">
        <v>0</v>
      </c>
      <c r="Z157" s="18">
        <v>0</v>
      </c>
      <c r="AA157" s="43">
        <v>0</v>
      </c>
      <c r="AB157" s="319" t="s">
        <v>330</v>
      </c>
    </row>
    <row r="158" spans="1:28" s="20" customFormat="1" x14ac:dyDescent="0.3">
      <c r="A158" s="39">
        <v>44352</v>
      </c>
      <c r="B158" s="40">
        <v>13.7</v>
      </c>
      <c r="C158" s="14">
        <v>19.3</v>
      </c>
      <c r="D158" s="14">
        <v>14.2</v>
      </c>
      <c r="E158" s="14">
        <v>22.3</v>
      </c>
      <c r="F158" s="14">
        <v>9.4</v>
      </c>
      <c r="G158" s="76">
        <f t="shared" si="10"/>
        <v>12.9</v>
      </c>
      <c r="H158" s="76">
        <f t="shared" si="11"/>
        <v>15.35</v>
      </c>
      <c r="I158" s="78">
        <v>14.592430555555595</v>
      </c>
      <c r="J158" s="14">
        <v>17.2</v>
      </c>
      <c r="K158" s="14">
        <v>7.9</v>
      </c>
      <c r="L158" s="78">
        <v>12.204444444444455</v>
      </c>
      <c r="M158" s="84">
        <v>92.4</v>
      </c>
      <c r="N158" s="24">
        <v>67.099999999999994</v>
      </c>
      <c r="O158" s="80">
        <v>85.969513888888983</v>
      </c>
      <c r="P158" s="117">
        <v>1022.73247120035</v>
      </c>
      <c r="Q158" s="21">
        <v>1017.31330344714</v>
      </c>
      <c r="R158" s="66">
        <v>1020.0254295094635</v>
      </c>
      <c r="S158" s="71">
        <v>5.4000134216511109</v>
      </c>
      <c r="T158" s="61">
        <v>3.1000077050219388</v>
      </c>
      <c r="U158" s="25">
        <v>0.90858774108522533</v>
      </c>
      <c r="V158" s="218" t="s">
        <v>268</v>
      </c>
      <c r="W158" s="220" t="s">
        <v>265</v>
      </c>
      <c r="X158" s="16">
        <v>6</v>
      </c>
      <c r="Y158" s="17">
        <v>4.0999999999999996</v>
      </c>
      <c r="Z158" s="18">
        <v>0</v>
      </c>
      <c r="AA158" s="43">
        <v>0</v>
      </c>
      <c r="AB158" s="319" t="s">
        <v>211</v>
      </c>
    </row>
    <row r="159" spans="1:28" s="20" customFormat="1" x14ac:dyDescent="0.3">
      <c r="A159" s="39">
        <v>44353</v>
      </c>
      <c r="B159" s="40">
        <v>13.5</v>
      </c>
      <c r="C159" s="14">
        <v>27.3</v>
      </c>
      <c r="D159" s="14">
        <v>14.8</v>
      </c>
      <c r="E159" s="14">
        <v>27.6</v>
      </c>
      <c r="F159" s="14">
        <v>10.7</v>
      </c>
      <c r="G159" s="76">
        <f t="shared" si="10"/>
        <v>16.900000000000002</v>
      </c>
      <c r="H159" s="76">
        <f t="shared" si="11"/>
        <v>17.600000000000001</v>
      </c>
      <c r="I159" s="78">
        <v>18.187291666666649</v>
      </c>
      <c r="J159" s="14">
        <v>18.7</v>
      </c>
      <c r="K159" s="14">
        <v>9.6</v>
      </c>
      <c r="L159" s="78">
        <v>13.290624999999997</v>
      </c>
      <c r="M159" s="84">
        <v>95.5</v>
      </c>
      <c r="N159" s="24">
        <v>39.799999999999997</v>
      </c>
      <c r="O159" s="80">
        <v>75.864444444444402</v>
      </c>
      <c r="P159" s="117">
        <v>1018.92885476923</v>
      </c>
      <c r="Q159" s="21">
        <v>1015.85432801333</v>
      </c>
      <c r="R159" s="66">
        <v>1017.624844122275</v>
      </c>
      <c r="S159" s="71">
        <v>11.200027837498611</v>
      </c>
      <c r="T159" s="61">
        <v>7.3928755177366385</v>
      </c>
      <c r="U159" s="25">
        <v>1.4871296056295178</v>
      </c>
      <c r="V159" s="218" t="s">
        <v>237</v>
      </c>
      <c r="W159" s="220"/>
      <c r="X159" s="16">
        <v>0</v>
      </c>
      <c r="Y159" s="17">
        <v>0</v>
      </c>
      <c r="Z159" s="18">
        <v>0</v>
      </c>
      <c r="AA159" s="43">
        <v>0</v>
      </c>
      <c r="AB159" s="319" t="s">
        <v>353</v>
      </c>
    </row>
    <row r="160" spans="1:28" s="20" customFormat="1" x14ac:dyDescent="0.3">
      <c r="A160" s="39">
        <v>44354</v>
      </c>
      <c r="B160" s="40">
        <v>18.7</v>
      </c>
      <c r="C160" s="14">
        <v>27.8</v>
      </c>
      <c r="D160" s="14">
        <v>15.8</v>
      </c>
      <c r="E160" s="14">
        <v>28.5</v>
      </c>
      <c r="F160" s="14">
        <v>11.8</v>
      </c>
      <c r="G160" s="76">
        <f t="shared" si="10"/>
        <v>16.7</v>
      </c>
      <c r="H160" s="76">
        <f t="shared" si="11"/>
        <v>19.524999999999999</v>
      </c>
      <c r="I160" s="78">
        <v>19.837500000000031</v>
      </c>
      <c r="J160" s="14">
        <v>18.100000000000001</v>
      </c>
      <c r="K160" s="14">
        <v>9.8000000000000007</v>
      </c>
      <c r="L160" s="78">
        <v>13.376458333333344</v>
      </c>
      <c r="M160" s="84">
        <v>93.5</v>
      </c>
      <c r="N160" s="24">
        <v>40</v>
      </c>
      <c r="O160" s="80">
        <v>69.416666666666572</v>
      </c>
      <c r="P160" s="117">
        <v>1018.67112883966</v>
      </c>
      <c r="Q160" s="21">
        <v>1015.27827518328</v>
      </c>
      <c r="R160" s="66">
        <v>1017.4574471744049</v>
      </c>
      <c r="S160" s="71">
        <v>8.2000203810257499</v>
      </c>
      <c r="T160" s="61">
        <v>4.8785835542165561</v>
      </c>
      <c r="U160" s="25">
        <v>1.5074876258057872</v>
      </c>
      <c r="V160" s="218" t="s">
        <v>237</v>
      </c>
      <c r="W160" s="220"/>
      <c r="X160" s="16">
        <v>0</v>
      </c>
      <c r="Y160" s="17">
        <v>0</v>
      </c>
      <c r="Z160" s="18">
        <v>0</v>
      </c>
      <c r="AA160" s="43">
        <v>0</v>
      </c>
      <c r="AB160" s="319" t="s">
        <v>291</v>
      </c>
    </row>
    <row r="161" spans="1:28" s="20" customFormat="1" x14ac:dyDescent="0.3">
      <c r="A161" s="39">
        <v>44355</v>
      </c>
      <c r="B161" s="40">
        <v>16.100000000000001</v>
      </c>
      <c r="C161" s="14">
        <v>28.2</v>
      </c>
      <c r="D161" s="14">
        <v>16.100000000000001</v>
      </c>
      <c r="E161" s="14">
        <v>29.6</v>
      </c>
      <c r="F161" s="14">
        <v>7.8</v>
      </c>
      <c r="G161" s="76">
        <f t="shared" si="10"/>
        <v>21.8</v>
      </c>
      <c r="H161" s="76">
        <f t="shared" si="11"/>
        <v>19.125</v>
      </c>
      <c r="I161" s="78">
        <v>18.843124999999993</v>
      </c>
      <c r="J161" s="14">
        <v>18.399999999999999</v>
      </c>
      <c r="K161" s="14">
        <v>6.6</v>
      </c>
      <c r="L161" s="78">
        <v>12.521111111111118</v>
      </c>
      <c r="M161" s="84">
        <v>94.7</v>
      </c>
      <c r="N161" s="24">
        <v>40.9</v>
      </c>
      <c r="O161" s="80">
        <v>69.865486111111068</v>
      </c>
      <c r="P161" s="117">
        <v>1019.18603773991</v>
      </c>
      <c r="Q161" s="21">
        <v>1014.72759343725</v>
      </c>
      <c r="R161" s="66">
        <v>1016.9332565049795</v>
      </c>
      <c r="S161" s="71">
        <v>8.2000203810257499</v>
      </c>
      <c r="T161" s="61">
        <v>4.5500113089838052</v>
      </c>
      <c r="U161" s="25">
        <v>1.3971822921197505</v>
      </c>
      <c r="V161" s="218" t="s">
        <v>237</v>
      </c>
      <c r="W161" s="220"/>
      <c r="X161" s="16">
        <v>0</v>
      </c>
      <c r="Y161" s="17">
        <v>0</v>
      </c>
      <c r="Z161" s="18">
        <v>0</v>
      </c>
      <c r="AA161" s="43">
        <v>0</v>
      </c>
      <c r="AB161" s="319" t="s">
        <v>272</v>
      </c>
    </row>
    <row r="162" spans="1:28" s="20" customFormat="1" x14ac:dyDescent="0.3">
      <c r="A162" s="39">
        <v>44356</v>
      </c>
      <c r="B162" s="40">
        <v>16.5</v>
      </c>
      <c r="C162" s="14">
        <v>28.5</v>
      </c>
      <c r="D162" s="14">
        <v>15.8</v>
      </c>
      <c r="E162" s="14">
        <v>28.7</v>
      </c>
      <c r="F162" s="14">
        <v>8.6999999999999993</v>
      </c>
      <c r="G162" s="76">
        <f t="shared" si="10"/>
        <v>20</v>
      </c>
      <c r="H162" s="76">
        <f t="shared" si="11"/>
        <v>19.149999999999999</v>
      </c>
      <c r="I162" s="78">
        <v>18.717361111111092</v>
      </c>
      <c r="J162" s="14">
        <v>19</v>
      </c>
      <c r="K162" s="14">
        <v>7.6</v>
      </c>
      <c r="L162" s="78">
        <v>13.244583333333342</v>
      </c>
      <c r="M162" s="84">
        <v>95.6</v>
      </c>
      <c r="N162" s="24">
        <v>45.8</v>
      </c>
      <c r="O162" s="80">
        <v>72.994513888888974</v>
      </c>
      <c r="P162" s="117">
        <v>1017.30479603991</v>
      </c>
      <c r="Q162" s="21">
        <v>1014.5658898120799</v>
      </c>
      <c r="R162" s="66">
        <v>1016.202538361578</v>
      </c>
      <c r="S162" s="71">
        <v>8.2000203810257499</v>
      </c>
      <c r="T162" s="61">
        <v>4.7142974316001807</v>
      </c>
      <c r="U162" s="25">
        <v>1.6718708882138611</v>
      </c>
      <c r="V162" s="218" t="s">
        <v>237</v>
      </c>
      <c r="W162" s="220"/>
      <c r="X162" s="16">
        <v>0</v>
      </c>
      <c r="Y162" s="17">
        <v>0</v>
      </c>
      <c r="Z162" s="18">
        <v>0</v>
      </c>
      <c r="AA162" s="43">
        <v>0</v>
      </c>
      <c r="AB162" s="319" t="s">
        <v>286</v>
      </c>
    </row>
    <row r="163" spans="1:28" s="20" customFormat="1" ht="43.2" x14ac:dyDescent="0.3">
      <c r="A163" s="39">
        <v>44357</v>
      </c>
      <c r="B163" s="40">
        <v>19.899999999999999</v>
      </c>
      <c r="C163" s="14">
        <v>27.4</v>
      </c>
      <c r="D163" s="14">
        <v>15.8</v>
      </c>
      <c r="E163" s="14">
        <v>27.6</v>
      </c>
      <c r="F163" s="14">
        <v>11.3</v>
      </c>
      <c r="G163" s="76">
        <f t="shared" si="10"/>
        <v>16.3</v>
      </c>
      <c r="H163" s="76">
        <f t="shared" si="11"/>
        <v>19.725000000000001</v>
      </c>
      <c r="I163" s="78">
        <v>19.379236111111119</v>
      </c>
      <c r="J163" s="14">
        <v>17.7</v>
      </c>
      <c r="K163" s="14">
        <v>10.199999999999999</v>
      </c>
      <c r="L163" s="78">
        <v>13.587986111111132</v>
      </c>
      <c r="M163" s="84">
        <v>95.9</v>
      </c>
      <c r="N163" s="24">
        <v>45.8</v>
      </c>
      <c r="O163" s="80">
        <v>71.757222222222325</v>
      </c>
      <c r="P163" s="117">
        <v>1017.28059831162</v>
      </c>
      <c r="Q163" s="21">
        <v>1014.52171983916</v>
      </c>
      <c r="R163" s="66">
        <v>1016.0063207468816</v>
      </c>
      <c r="S163" s="71">
        <v>8.5000211266730545</v>
      </c>
      <c r="T163" s="61">
        <v>5.3625133284451945</v>
      </c>
      <c r="U163" s="25">
        <v>2.1096282593219229</v>
      </c>
      <c r="V163" s="218" t="s">
        <v>240</v>
      </c>
      <c r="W163" s="220" t="s">
        <v>224</v>
      </c>
      <c r="X163" s="16">
        <v>0</v>
      </c>
      <c r="Y163" s="17">
        <v>0</v>
      </c>
      <c r="Z163" s="18">
        <v>0</v>
      </c>
      <c r="AA163" s="43">
        <v>0</v>
      </c>
      <c r="AB163" s="319" t="s">
        <v>354</v>
      </c>
    </row>
    <row r="164" spans="1:28" s="20" customFormat="1" x14ac:dyDescent="0.3">
      <c r="A164" s="39">
        <v>44358</v>
      </c>
      <c r="B164" s="40">
        <v>17.5</v>
      </c>
      <c r="C164" s="14">
        <v>28.3</v>
      </c>
      <c r="D164" s="14">
        <v>18</v>
      </c>
      <c r="E164" s="14">
        <v>28.7</v>
      </c>
      <c r="F164" s="14">
        <v>10</v>
      </c>
      <c r="G164" s="76">
        <f t="shared" si="10"/>
        <v>18.7</v>
      </c>
      <c r="H164" s="76">
        <f t="shared" si="11"/>
        <v>20.45</v>
      </c>
      <c r="I164" s="78">
        <v>19.70812500000001</v>
      </c>
      <c r="J164" s="14">
        <v>18</v>
      </c>
      <c r="K164" s="14">
        <v>8.8000000000000007</v>
      </c>
      <c r="L164" s="78">
        <v>13.184097222222201</v>
      </c>
      <c r="M164" s="84">
        <v>94.5</v>
      </c>
      <c r="N164" s="24">
        <v>38.299999999999997</v>
      </c>
      <c r="O164" s="80">
        <v>69.234861111111059</v>
      </c>
      <c r="P164" s="117">
        <v>1016.57688793867</v>
      </c>
      <c r="Q164" s="21">
        <v>1012.38509160502</v>
      </c>
      <c r="R164" s="66">
        <v>1014.89447342406</v>
      </c>
      <c r="S164" s="71">
        <v>11.200027837498611</v>
      </c>
      <c r="T164" s="61">
        <v>5.3687633439795137</v>
      </c>
      <c r="U164" s="25">
        <v>1.5431771986386607</v>
      </c>
      <c r="V164" s="218" t="s">
        <v>237</v>
      </c>
      <c r="W164" s="220"/>
      <c r="X164" s="16">
        <v>0</v>
      </c>
      <c r="Y164" s="17">
        <v>0</v>
      </c>
      <c r="Z164" s="18">
        <v>0</v>
      </c>
      <c r="AA164" s="43">
        <v>0</v>
      </c>
      <c r="AB164" s="319" t="s">
        <v>211</v>
      </c>
    </row>
    <row r="165" spans="1:28" s="20" customFormat="1" x14ac:dyDescent="0.3">
      <c r="A165" s="39">
        <v>44359</v>
      </c>
      <c r="B165" s="40">
        <v>17.5</v>
      </c>
      <c r="C165" s="14">
        <v>27</v>
      </c>
      <c r="D165" s="14">
        <v>19.2</v>
      </c>
      <c r="E165" s="14">
        <v>28.4</v>
      </c>
      <c r="F165" s="14">
        <v>10</v>
      </c>
      <c r="G165" s="76">
        <f t="shared" si="10"/>
        <v>18.399999999999999</v>
      </c>
      <c r="H165" s="76">
        <f t="shared" si="11"/>
        <v>20.725000000000001</v>
      </c>
      <c r="I165" s="78">
        <v>19.933749999999993</v>
      </c>
      <c r="J165" s="14">
        <v>18.600000000000001</v>
      </c>
      <c r="K165" s="14">
        <v>8.9</v>
      </c>
      <c r="L165" s="78">
        <v>13.920625000000021</v>
      </c>
      <c r="M165" s="84">
        <v>95.1</v>
      </c>
      <c r="N165" s="24">
        <v>42.5</v>
      </c>
      <c r="O165" s="80">
        <v>71.092152777777699</v>
      </c>
      <c r="P165" s="117">
        <v>1016.29780818854</v>
      </c>
      <c r="Q165" s="21">
        <v>1008.9632001321399</v>
      </c>
      <c r="R165" s="66">
        <v>1012.9685715416955</v>
      </c>
      <c r="S165" s="71">
        <v>7.8000193868293888</v>
      </c>
      <c r="T165" s="61">
        <v>3.0071503313692078</v>
      </c>
      <c r="U165" s="25">
        <v>1.0701787511828276</v>
      </c>
      <c r="V165" s="218" t="s">
        <v>240</v>
      </c>
      <c r="W165" s="220" t="s">
        <v>213</v>
      </c>
      <c r="X165" s="16">
        <v>7.2</v>
      </c>
      <c r="Y165" s="17">
        <v>4.0999999999999996</v>
      </c>
      <c r="Z165" s="18">
        <v>0</v>
      </c>
      <c r="AA165" s="43">
        <v>0</v>
      </c>
      <c r="AB165" s="319" t="s">
        <v>355</v>
      </c>
    </row>
    <row r="166" spans="1:28" s="20" customFormat="1" x14ac:dyDescent="0.3">
      <c r="A166" s="39">
        <v>44360</v>
      </c>
      <c r="B166" s="40">
        <v>14.6</v>
      </c>
      <c r="C166" s="14">
        <v>17.8</v>
      </c>
      <c r="D166" s="14">
        <v>12.8</v>
      </c>
      <c r="E166" s="14">
        <v>20.5</v>
      </c>
      <c r="F166" s="14">
        <v>11.3</v>
      </c>
      <c r="G166" s="76">
        <f t="shared" si="10"/>
        <v>9.1999999999999993</v>
      </c>
      <c r="H166" s="76">
        <f t="shared" si="11"/>
        <v>14.5</v>
      </c>
      <c r="I166" s="78">
        <v>15.495882763433327</v>
      </c>
      <c r="J166" s="14">
        <v>14.7</v>
      </c>
      <c r="K166" s="14">
        <v>8</v>
      </c>
      <c r="L166" s="78">
        <v>11.118702023726442</v>
      </c>
      <c r="M166" s="84">
        <v>93.1</v>
      </c>
      <c r="N166" s="24">
        <v>55.3</v>
      </c>
      <c r="O166" s="80">
        <v>76.16699232379618</v>
      </c>
      <c r="P166" s="117">
        <v>1019.9416829814299</v>
      </c>
      <c r="Q166" s="21">
        <v>1011.39132835259</v>
      </c>
      <c r="R166" s="66">
        <v>1016.1823468844474</v>
      </c>
      <c r="S166" s="71">
        <v>9.500023612164</v>
      </c>
      <c r="T166" s="61">
        <v>5.9143004141893059</v>
      </c>
      <c r="U166" s="25">
        <v>2.9022331559166226</v>
      </c>
      <c r="V166" s="218" t="s">
        <v>240</v>
      </c>
      <c r="W166" s="221" t="s">
        <v>224</v>
      </c>
      <c r="X166" s="26">
        <v>0</v>
      </c>
      <c r="Y166" s="27">
        <v>0</v>
      </c>
      <c r="Z166" s="28">
        <v>0</v>
      </c>
      <c r="AA166" s="29">
        <v>0</v>
      </c>
      <c r="AB166" s="320" t="s">
        <v>356</v>
      </c>
    </row>
    <row r="167" spans="1:28" s="20" customFormat="1" x14ac:dyDescent="0.3">
      <c r="A167" s="39">
        <v>44361</v>
      </c>
      <c r="B167" s="40">
        <v>14.8</v>
      </c>
      <c r="C167" s="14">
        <v>19.8</v>
      </c>
      <c r="D167" s="14">
        <v>15.1</v>
      </c>
      <c r="E167" s="14">
        <v>21.9</v>
      </c>
      <c r="F167" s="14">
        <v>10.5</v>
      </c>
      <c r="G167" s="76">
        <f t="shared" si="10"/>
        <v>11.399999999999999</v>
      </c>
      <c r="H167" s="76">
        <f t="shared" si="11"/>
        <v>16.2</v>
      </c>
      <c r="I167" s="78">
        <v>16.143541666666639</v>
      </c>
      <c r="J167" s="14">
        <v>14</v>
      </c>
      <c r="K167" s="14">
        <v>8.5</v>
      </c>
      <c r="L167" s="78">
        <v>10.428611111111113</v>
      </c>
      <c r="M167" s="84">
        <v>88.2</v>
      </c>
      <c r="N167" s="24">
        <v>50.2</v>
      </c>
      <c r="O167" s="80">
        <v>70.123888888888729</v>
      </c>
      <c r="P167" s="117">
        <v>1019.75277978945</v>
      </c>
      <c r="Q167" s="21">
        <v>1017.3502912668901</v>
      </c>
      <c r="R167" s="66">
        <v>1018.8808288377036</v>
      </c>
      <c r="S167" s="71">
        <v>10.500026097654944</v>
      </c>
      <c r="T167" s="61">
        <v>5.9687648352740972</v>
      </c>
      <c r="U167" s="25">
        <v>2.4836495262476741</v>
      </c>
      <c r="V167" s="218" t="s">
        <v>240</v>
      </c>
      <c r="W167" s="221"/>
      <c r="X167" s="26">
        <v>0</v>
      </c>
      <c r="Y167" s="27">
        <v>0</v>
      </c>
      <c r="Z167" s="28">
        <v>0</v>
      </c>
      <c r="AA167" s="29">
        <v>0</v>
      </c>
      <c r="AB167" s="320" t="s">
        <v>211</v>
      </c>
    </row>
    <row r="168" spans="1:28" s="20" customFormat="1" ht="28.8" x14ac:dyDescent="0.3">
      <c r="A168" s="39">
        <v>44362</v>
      </c>
      <c r="B168" s="40">
        <v>16.100000000000001</v>
      </c>
      <c r="C168" s="14">
        <v>27</v>
      </c>
      <c r="D168" s="14">
        <v>16</v>
      </c>
      <c r="E168" s="14">
        <v>27.6</v>
      </c>
      <c r="F168" s="14">
        <v>7.1</v>
      </c>
      <c r="G168" s="76">
        <f t="shared" si="10"/>
        <v>20.5</v>
      </c>
      <c r="H168" s="76">
        <f t="shared" si="11"/>
        <v>18.774999999999999</v>
      </c>
      <c r="I168" s="78">
        <v>18.155347222222215</v>
      </c>
      <c r="J168" s="14">
        <v>18</v>
      </c>
      <c r="K168" s="14">
        <v>5.9</v>
      </c>
      <c r="L168" s="78">
        <v>11.979374999999994</v>
      </c>
      <c r="M168" s="84">
        <v>94</v>
      </c>
      <c r="N168" s="24">
        <v>46.2</v>
      </c>
      <c r="O168" s="80">
        <v>69.733541666666696</v>
      </c>
      <c r="P168" s="117">
        <v>1019.76897830341</v>
      </c>
      <c r="Q168" s="21">
        <v>1014.81134940539</v>
      </c>
      <c r="R168" s="66">
        <v>1017.5530971060705</v>
      </c>
      <c r="S168" s="71">
        <v>9.9000246063603612</v>
      </c>
      <c r="T168" s="61">
        <v>4.8142976801492772</v>
      </c>
      <c r="U168" s="25">
        <v>1.654077771899394</v>
      </c>
      <c r="V168" s="218" t="s">
        <v>237</v>
      </c>
      <c r="W168" s="221"/>
      <c r="X168" s="26">
        <v>0</v>
      </c>
      <c r="Y168" s="27">
        <v>0</v>
      </c>
      <c r="Z168" s="28">
        <v>0</v>
      </c>
      <c r="AA168" s="29">
        <v>0</v>
      </c>
      <c r="AB168" s="320" t="s">
        <v>357</v>
      </c>
    </row>
    <row r="169" spans="1:28" s="20" customFormat="1" x14ac:dyDescent="0.3">
      <c r="A169" s="39">
        <v>44363</v>
      </c>
      <c r="B169" s="40">
        <v>16.7</v>
      </c>
      <c r="C169" s="14">
        <v>29</v>
      </c>
      <c r="D169" s="14">
        <v>17.399999999999999</v>
      </c>
      <c r="E169" s="14">
        <v>29.4</v>
      </c>
      <c r="F169" s="14">
        <v>8.1999999999999993</v>
      </c>
      <c r="G169" s="76">
        <f t="shared" si="10"/>
        <v>21.2</v>
      </c>
      <c r="H169" s="76">
        <f t="shared" si="11"/>
        <v>20.125</v>
      </c>
      <c r="I169" s="78">
        <v>19.595972222222219</v>
      </c>
      <c r="J169" s="14">
        <v>18.7</v>
      </c>
      <c r="K169" s="14">
        <v>7.1</v>
      </c>
      <c r="L169" s="78">
        <v>13.435972222222217</v>
      </c>
      <c r="M169" s="84">
        <v>95.4</v>
      </c>
      <c r="N169" s="24">
        <v>43.6</v>
      </c>
      <c r="O169" s="80">
        <v>70.586180555555586</v>
      </c>
      <c r="P169" s="117">
        <v>1019.5609928779299</v>
      </c>
      <c r="Q169" s="21">
        <v>1015.84166197267</v>
      </c>
      <c r="R169" s="66">
        <v>1017.3664842967675</v>
      </c>
      <c r="S169" s="71">
        <v>8.2000203810257499</v>
      </c>
      <c r="T169" s="61">
        <v>4.4785825600201807</v>
      </c>
      <c r="U169" s="25">
        <v>1.5176563018735274</v>
      </c>
      <c r="V169" s="218" t="s">
        <v>237</v>
      </c>
      <c r="W169" s="221"/>
      <c r="X169" s="26">
        <v>0</v>
      </c>
      <c r="Y169" s="27">
        <v>0</v>
      </c>
      <c r="Z169" s="28">
        <v>0</v>
      </c>
      <c r="AA169" s="29">
        <v>0</v>
      </c>
      <c r="AB169" s="320" t="s">
        <v>358</v>
      </c>
    </row>
    <row r="170" spans="1:28" s="20" customFormat="1" x14ac:dyDescent="0.3">
      <c r="A170" s="39">
        <v>44364</v>
      </c>
      <c r="B170" s="40">
        <v>18.8</v>
      </c>
      <c r="C170" s="14">
        <v>28.1</v>
      </c>
      <c r="D170" s="14">
        <v>19.3</v>
      </c>
      <c r="E170" s="14">
        <v>31.1</v>
      </c>
      <c r="F170" s="14">
        <v>10.4</v>
      </c>
      <c r="G170" s="76">
        <f t="shared" si="10"/>
        <v>20.700000000000003</v>
      </c>
      <c r="H170" s="76">
        <f t="shared" si="11"/>
        <v>21.375</v>
      </c>
      <c r="I170" s="78">
        <v>21.115208333333314</v>
      </c>
      <c r="J170" s="14">
        <v>20.6</v>
      </c>
      <c r="K170" s="14">
        <v>9.3000000000000007</v>
      </c>
      <c r="L170" s="78">
        <v>14.844097222222224</v>
      </c>
      <c r="M170" s="84">
        <v>95.4</v>
      </c>
      <c r="N170" s="24">
        <v>38.6</v>
      </c>
      <c r="O170" s="80">
        <v>70.620416666666628</v>
      </c>
      <c r="P170" s="117">
        <v>1021.02997134614</v>
      </c>
      <c r="Q170" s="21">
        <v>1017.5133131253</v>
      </c>
      <c r="R170" s="66">
        <v>1019.191122715317</v>
      </c>
      <c r="S170" s="71">
        <v>5.8000144158475004</v>
      </c>
      <c r="T170" s="61">
        <v>3.757152195487417</v>
      </c>
      <c r="U170" s="25">
        <v>1.2244946109230219</v>
      </c>
      <c r="V170" s="218" t="s">
        <v>237</v>
      </c>
      <c r="W170" s="221"/>
      <c r="X170" s="26">
        <v>0</v>
      </c>
      <c r="Y170" s="27">
        <v>0</v>
      </c>
      <c r="Z170" s="28">
        <v>0</v>
      </c>
      <c r="AA170" s="29">
        <v>0</v>
      </c>
      <c r="AB170" s="320" t="s">
        <v>359</v>
      </c>
    </row>
    <row r="171" spans="1:28" s="20" customFormat="1" x14ac:dyDescent="0.3">
      <c r="A171" s="39">
        <v>44365</v>
      </c>
      <c r="B171" s="40">
        <v>18.7</v>
      </c>
      <c r="C171" s="14">
        <v>32.799999999999997</v>
      </c>
      <c r="D171" s="14">
        <v>22.6</v>
      </c>
      <c r="E171" s="14">
        <v>33.6</v>
      </c>
      <c r="F171" s="14">
        <v>11</v>
      </c>
      <c r="G171" s="76">
        <f t="shared" si="10"/>
        <v>22.6</v>
      </c>
      <c r="H171" s="76">
        <f t="shared" si="11"/>
        <v>24.175000000000001</v>
      </c>
      <c r="I171" s="78">
        <v>22.627291666666668</v>
      </c>
      <c r="J171" s="14">
        <v>22.2</v>
      </c>
      <c r="K171" s="14">
        <v>9.9</v>
      </c>
      <c r="L171" s="78">
        <v>15.874444444444496</v>
      </c>
      <c r="M171" s="84">
        <v>94.9</v>
      </c>
      <c r="N171" s="24">
        <v>38.5</v>
      </c>
      <c r="O171" s="80">
        <v>68.999791666666582</v>
      </c>
      <c r="P171" s="117">
        <v>1021.12269803581</v>
      </c>
      <c r="Q171" s="21">
        <v>1015.28267808812</v>
      </c>
      <c r="R171" s="66">
        <v>1018.227806216183</v>
      </c>
      <c r="S171" s="71">
        <v>6.5000161556911662</v>
      </c>
      <c r="T171" s="61">
        <v>4.1267959713742499</v>
      </c>
      <c r="U171" s="25">
        <v>1.2748109562216279</v>
      </c>
      <c r="V171" s="218" t="s">
        <v>236</v>
      </c>
      <c r="W171" s="221"/>
      <c r="X171" s="26">
        <v>0</v>
      </c>
      <c r="Y171" s="27">
        <v>0</v>
      </c>
      <c r="Z171" s="28">
        <v>0</v>
      </c>
      <c r="AA171" s="29">
        <v>0</v>
      </c>
      <c r="AB171" s="320" t="s">
        <v>358</v>
      </c>
    </row>
    <row r="172" spans="1:28" s="20" customFormat="1" x14ac:dyDescent="0.3">
      <c r="A172" s="39">
        <v>44366</v>
      </c>
      <c r="B172" s="40">
        <v>20.8</v>
      </c>
      <c r="C172" s="14">
        <v>31.3</v>
      </c>
      <c r="D172" s="14">
        <v>19.2</v>
      </c>
      <c r="E172" s="14">
        <v>33.1</v>
      </c>
      <c r="F172" s="14">
        <v>12.8</v>
      </c>
      <c r="G172" s="76">
        <f t="shared" si="10"/>
        <v>20.3</v>
      </c>
      <c r="H172" s="76">
        <f t="shared" si="11"/>
        <v>22.625</v>
      </c>
      <c r="I172" s="78">
        <v>22.606111111111094</v>
      </c>
      <c r="J172" s="14">
        <v>22.1</v>
      </c>
      <c r="K172" s="14">
        <v>11.7</v>
      </c>
      <c r="L172" s="78">
        <v>16.762986111111086</v>
      </c>
      <c r="M172" s="84">
        <v>95.7</v>
      </c>
      <c r="N172" s="24">
        <v>41.8</v>
      </c>
      <c r="O172" s="80">
        <v>72.533333333333331</v>
      </c>
      <c r="P172" s="117">
        <v>1018.0969140083999</v>
      </c>
      <c r="Q172" s="21">
        <v>1013.5163114703</v>
      </c>
      <c r="R172" s="66">
        <v>1015.9540840873877</v>
      </c>
      <c r="S172" s="71">
        <v>7.5000186411821108</v>
      </c>
      <c r="T172" s="61">
        <v>5.4491206865636244</v>
      </c>
      <c r="U172" s="25">
        <v>1.2830761057327846</v>
      </c>
      <c r="V172" s="218" t="s">
        <v>237</v>
      </c>
      <c r="W172" s="221"/>
      <c r="X172" s="26">
        <v>0</v>
      </c>
      <c r="Y172" s="27">
        <v>0</v>
      </c>
      <c r="Z172" s="28">
        <v>0</v>
      </c>
      <c r="AA172" s="29">
        <v>0</v>
      </c>
      <c r="AB172" s="320" t="s">
        <v>359</v>
      </c>
    </row>
    <row r="173" spans="1:28" s="20" customFormat="1" x14ac:dyDescent="0.3">
      <c r="A173" s="39">
        <v>44367</v>
      </c>
      <c r="B173" s="40">
        <v>20.3</v>
      </c>
      <c r="C173" s="14">
        <v>31.9</v>
      </c>
      <c r="D173" s="14">
        <v>21.7</v>
      </c>
      <c r="E173" s="14">
        <v>32.799999999999997</v>
      </c>
      <c r="F173" s="14">
        <v>12.7</v>
      </c>
      <c r="G173" s="76">
        <f t="shared" si="10"/>
        <v>20.099999999999998</v>
      </c>
      <c r="H173" s="76">
        <f t="shared" si="11"/>
        <v>23.9</v>
      </c>
      <c r="I173" s="78">
        <v>23.11578212290501</v>
      </c>
      <c r="J173" s="14">
        <v>21.7</v>
      </c>
      <c r="K173" s="14">
        <v>11.7</v>
      </c>
      <c r="L173" s="78">
        <v>16.908798882681548</v>
      </c>
      <c r="M173" s="84">
        <v>95.9</v>
      </c>
      <c r="N173" s="24">
        <v>41.1</v>
      </c>
      <c r="O173" s="80">
        <v>71.128142458100513</v>
      </c>
      <c r="P173" s="117">
        <v>1015.99607689289</v>
      </c>
      <c r="Q173" s="21">
        <v>1010.11255237724</v>
      </c>
      <c r="R173" s="66">
        <v>1012.9562640425343</v>
      </c>
      <c r="S173" s="71">
        <v>7.1000176469857221</v>
      </c>
      <c r="T173" s="61">
        <v>3.9357240678965137</v>
      </c>
      <c r="U173" s="25">
        <v>1.3211817725337862</v>
      </c>
      <c r="V173" s="218" t="s">
        <v>237</v>
      </c>
      <c r="W173" s="221"/>
      <c r="X173" s="26">
        <v>0</v>
      </c>
      <c r="Y173" s="27">
        <v>0</v>
      </c>
      <c r="Z173" s="28">
        <v>0</v>
      </c>
      <c r="AA173" s="29">
        <v>0</v>
      </c>
      <c r="AB173" s="320" t="s">
        <v>360</v>
      </c>
    </row>
    <row r="174" spans="1:28" s="20" customFormat="1" x14ac:dyDescent="0.3">
      <c r="A174" s="39">
        <v>44368</v>
      </c>
      <c r="B174" s="40">
        <v>22.5</v>
      </c>
      <c r="C174" s="14">
        <v>30.3</v>
      </c>
      <c r="D174" s="14">
        <v>20</v>
      </c>
      <c r="E174" s="14">
        <v>30.8</v>
      </c>
      <c r="F174" s="14">
        <v>14.6</v>
      </c>
      <c r="G174" s="76">
        <f t="shared" si="10"/>
        <v>16.200000000000003</v>
      </c>
      <c r="H174" s="76">
        <f t="shared" si="11"/>
        <v>23.2</v>
      </c>
      <c r="I174" s="78">
        <v>23.157152777777799</v>
      </c>
      <c r="J174" s="14">
        <v>20.9</v>
      </c>
      <c r="K174" s="14">
        <v>13.6</v>
      </c>
      <c r="L174" s="78">
        <v>17.679791666666706</v>
      </c>
      <c r="M174" s="84">
        <v>95.8</v>
      </c>
      <c r="N174" s="24">
        <v>49</v>
      </c>
      <c r="O174" s="80">
        <v>73.567569444444473</v>
      </c>
      <c r="P174" s="117">
        <v>1011.07118656331</v>
      </c>
      <c r="Q174" s="21">
        <v>1007.71531625976</v>
      </c>
      <c r="R174" s="66">
        <v>1009.5721023685263</v>
      </c>
      <c r="S174" s="71">
        <v>7.5000186411821108</v>
      </c>
      <c r="T174" s="61">
        <v>4.4071538110565278</v>
      </c>
      <c r="U174" s="25">
        <v>1.7503998028906165</v>
      </c>
      <c r="V174" s="218" t="s">
        <v>242</v>
      </c>
      <c r="W174" s="221"/>
      <c r="X174" s="26">
        <v>0</v>
      </c>
      <c r="Y174" s="27">
        <v>0</v>
      </c>
      <c r="Z174" s="28">
        <v>0</v>
      </c>
      <c r="AA174" s="29">
        <v>0</v>
      </c>
      <c r="AB174" s="320" t="s">
        <v>361</v>
      </c>
    </row>
    <row r="175" spans="1:28" s="20" customFormat="1" x14ac:dyDescent="0.3">
      <c r="A175" s="39">
        <v>44369</v>
      </c>
      <c r="B175" s="40">
        <v>24.5</v>
      </c>
      <c r="C175" s="14">
        <v>31.4</v>
      </c>
      <c r="D175" s="14">
        <v>23.2</v>
      </c>
      <c r="E175" s="14">
        <v>32</v>
      </c>
      <c r="F175" s="14">
        <v>15.2</v>
      </c>
      <c r="G175" s="76">
        <f t="shared" si="10"/>
        <v>16.8</v>
      </c>
      <c r="H175" s="76">
        <f t="shared" si="11"/>
        <v>25.574999999999999</v>
      </c>
      <c r="I175" s="78">
        <v>24.35069444444445</v>
      </c>
      <c r="J175" s="14">
        <v>24.1</v>
      </c>
      <c r="K175" s="14">
        <v>14.3</v>
      </c>
      <c r="L175" s="78">
        <v>19.493194444444466</v>
      </c>
      <c r="M175" s="84">
        <v>96.1</v>
      </c>
      <c r="N175" s="24">
        <v>54.4</v>
      </c>
      <c r="O175" s="80">
        <v>76.161388888888922</v>
      </c>
      <c r="P175" s="117">
        <v>1012.3339489781</v>
      </c>
      <c r="Q175" s="21">
        <v>1009.08818166353</v>
      </c>
      <c r="R175" s="66">
        <v>1010.2739250258437</v>
      </c>
      <c r="S175" s="71">
        <v>8.2000203810257499</v>
      </c>
      <c r="T175" s="61">
        <v>4.7357260562892778</v>
      </c>
      <c r="U175" s="25">
        <v>1.8748620508140863</v>
      </c>
      <c r="V175" s="218" t="s">
        <v>242</v>
      </c>
      <c r="W175" s="221"/>
      <c r="X175" s="26">
        <v>0</v>
      </c>
      <c r="Y175" s="27">
        <v>0</v>
      </c>
      <c r="Z175" s="28">
        <v>0</v>
      </c>
      <c r="AA175" s="29">
        <v>0</v>
      </c>
      <c r="AB175" s="320" t="s">
        <v>359</v>
      </c>
    </row>
    <row r="176" spans="1:28" s="20" customFormat="1" x14ac:dyDescent="0.3">
      <c r="A176" s="39">
        <v>44370</v>
      </c>
      <c r="B176" s="40">
        <v>25.3</v>
      </c>
      <c r="C176" s="14">
        <v>34.200000000000003</v>
      </c>
      <c r="D176" s="14">
        <v>23.9</v>
      </c>
      <c r="E176" s="14">
        <v>34.9</v>
      </c>
      <c r="F176" s="14">
        <v>17.899999999999999</v>
      </c>
      <c r="G176" s="76">
        <f t="shared" si="10"/>
        <v>17</v>
      </c>
      <c r="H176" s="76">
        <f t="shared" si="11"/>
        <v>26.824999999999999</v>
      </c>
      <c r="I176" s="78">
        <v>26.1090972222222</v>
      </c>
      <c r="J176" s="14">
        <v>26.6</v>
      </c>
      <c r="K176" s="14">
        <v>17.100000000000001</v>
      </c>
      <c r="L176" s="78">
        <v>21.562430555555526</v>
      </c>
      <c r="M176" s="84">
        <v>96.6</v>
      </c>
      <c r="N176" s="24">
        <v>49.7</v>
      </c>
      <c r="O176" s="80">
        <v>77.978541666666587</v>
      </c>
      <c r="P176" s="117">
        <v>1017.76440117838</v>
      </c>
      <c r="Q176" s="21">
        <v>1012.34260683055</v>
      </c>
      <c r="R176" s="66">
        <v>1014.8528264112717</v>
      </c>
      <c r="S176" s="71">
        <v>6.8000169013384442</v>
      </c>
      <c r="T176" s="61">
        <v>5.1366199098476937</v>
      </c>
      <c r="U176" s="25">
        <v>1.2587890910027009</v>
      </c>
      <c r="V176" s="218" t="s">
        <v>237</v>
      </c>
      <c r="W176" s="221"/>
      <c r="X176" s="26">
        <v>0</v>
      </c>
      <c r="Y176" s="27">
        <v>0</v>
      </c>
      <c r="Z176" s="28">
        <v>0</v>
      </c>
      <c r="AA176" s="29">
        <v>0</v>
      </c>
      <c r="AB176" s="320" t="s">
        <v>362</v>
      </c>
    </row>
    <row r="177" spans="1:28" s="20" customFormat="1" ht="28.8" x14ac:dyDescent="0.3">
      <c r="A177" s="39">
        <v>44371</v>
      </c>
      <c r="B177" s="40">
        <v>24.7</v>
      </c>
      <c r="C177" s="14">
        <v>34.799999999999997</v>
      </c>
      <c r="D177" s="14">
        <v>23.7</v>
      </c>
      <c r="E177" s="14">
        <v>35.5</v>
      </c>
      <c r="F177" s="14">
        <v>18.399999999999999</v>
      </c>
      <c r="G177" s="76">
        <f t="shared" si="10"/>
        <v>17.100000000000001</v>
      </c>
      <c r="H177" s="76">
        <f t="shared" si="11"/>
        <v>26.725000000000001</v>
      </c>
      <c r="I177" s="78">
        <v>26.970277777777795</v>
      </c>
      <c r="J177" s="14">
        <v>25.7</v>
      </c>
      <c r="K177" s="14">
        <v>17.5</v>
      </c>
      <c r="L177" s="78">
        <v>21.410277777777761</v>
      </c>
      <c r="M177" s="84">
        <v>96.6</v>
      </c>
      <c r="N177" s="24">
        <v>49.5</v>
      </c>
      <c r="O177" s="80">
        <v>74.287083333333172</v>
      </c>
      <c r="P177" s="117">
        <v>1017.77214074751</v>
      </c>
      <c r="Q177" s="21">
        <v>1011.9054491248301</v>
      </c>
      <c r="R177" s="66">
        <v>1014.8740087886425</v>
      </c>
      <c r="S177" s="71">
        <v>8.5000211266730545</v>
      </c>
      <c r="T177" s="61">
        <v>4.7071545567038058</v>
      </c>
      <c r="U177" s="25">
        <v>1.774886603913939</v>
      </c>
      <c r="V177" s="218" t="s">
        <v>233</v>
      </c>
      <c r="W177" s="221"/>
      <c r="X177" s="26">
        <v>0</v>
      </c>
      <c r="Y177" s="27">
        <v>0</v>
      </c>
      <c r="Z177" s="28">
        <v>0</v>
      </c>
      <c r="AA177" s="29">
        <v>0</v>
      </c>
      <c r="AB177" s="320" t="s">
        <v>363</v>
      </c>
    </row>
    <row r="178" spans="1:28" s="20" customFormat="1" x14ac:dyDescent="0.3">
      <c r="A178" s="39">
        <v>44372</v>
      </c>
      <c r="B178" s="40">
        <v>20.7</v>
      </c>
      <c r="C178" s="14">
        <v>32.5</v>
      </c>
      <c r="D178" s="14">
        <v>19.8</v>
      </c>
      <c r="E178" s="14">
        <v>34.200000000000003</v>
      </c>
      <c r="F178" s="14">
        <v>18.3</v>
      </c>
      <c r="G178" s="76">
        <f t="shared" si="10"/>
        <v>15.900000000000002</v>
      </c>
      <c r="H178" s="76">
        <f t="shared" si="11"/>
        <v>23.200000000000003</v>
      </c>
      <c r="I178" s="78">
        <v>23.886597222222225</v>
      </c>
      <c r="J178" s="14">
        <v>25.2</v>
      </c>
      <c r="K178" s="14">
        <v>16.100000000000001</v>
      </c>
      <c r="L178" s="78">
        <v>19.203402777777747</v>
      </c>
      <c r="M178" s="84">
        <v>91.9</v>
      </c>
      <c r="N178" s="24">
        <v>46</v>
      </c>
      <c r="O178" s="80">
        <v>76.314097222222216</v>
      </c>
      <c r="P178" s="117">
        <v>1015.48898857782</v>
      </c>
      <c r="Q178" s="21">
        <v>1009.78148559789</v>
      </c>
      <c r="R178" s="66">
        <v>1013.3082443178771</v>
      </c>
      <c r="S178" s="71">
        <v>10.200025352007668</v>
      </c>
      <c r="T178" s="61">
        <v>5.828585915432944</v>
      </c>
      <c r="U178" s="25">
        <v>2.0120275703083279</v>
      </c>
      <c r="V178" s="218" t="s">
        <v>240</v>
      </c>
      <c r="W178" s="221"/>
      <c r="X178" s="26">
        <v>0</v>
      </c>
      <c r="Y178" s="27">
        <v>0</v>
      </c>
      <c r="Z178" s="28">
        <v>0</v>
      </c>
      <c r="AA178" s="29">
        <v>0</v>
      </c>
      <c r="AB178" s="320" t="s">
        <v>309</v>
      </c>
    </row>
    <row r="179" spans="1:28" s="20" customFormat="1" x14ac:dyDescent="0.3">
      <c r="A179" s="39">
        <v>44373</v>
      </c>
      <c r="B179" s="40">
        <v>21.9</v>
      </c>
      <c r="C179" s="14">
        <v>26.7</v>
      </c>
      <c r="D179" s="14">
        <v>16.8</v>
      </c>
      <c r="E179" s="14">
        <v>28.3</v>
      </c>
      <c r="F179" s="14">
        <v>14.8</v>
      </c>
      <c r="G179" s="76">
        <f t="shared" si="10"/>
        <v>13.5</v>
      </c>
      <c r="H179" s="76">
        <f t="shared" si="11"/>
        <v>20.549999999999997</v>
      </c>
      <c r="I179" s="78">
        <v>21.220555555555549</v>
      </c>
      <c r="J179" s="14">
        <v>22.7</v>
      </c>
      <c r="K179" s="14">
        <v>13.5</v>
      </c>
      <c r="L179" s="78">
        <v>17.385902777777815</v>
      </c>
      <c r="M179" s="84">
        <v>94.1</v>
      </c>
      <c r="N179" s="24">
        <v>56.3</v>
      </c>
      <c r="O179" s="80">
        <v>79.642361111111057</v>
      </c>
      <c r="P179" s="117">
        <v>1017.69275858779</v>
      </c>
      <c r="Q179" s="21">
        <v>1014.06056666146</v>
      </c>
      <c r="R179" s="66">
        <v>1015.7715856745752</v>
      </c>
      <c r="S179" s="71">
        <v>8.8000218723203325</v>
      </c>
      <c r="T179" s="61">
        <v>6.1000151614947775</v>
      </c>
      <c r="U179" s="25">
        <v>1.8392840854014691</v>
      </c>
      <c r="V179" s="218" t="s">
        <v>238</v>
      </c>
      <c r="W179" s="221" t="s">
        <v>213</v>
      </c>
      <c r="X179" s="26">
        <v>80.400000000000006</v>
      </c>
      <c r="Y179" s="27">
        <v>12.9</v>
      </c>
      <c r="Z179" s="28">
        <v>0</v>
      </c>
      <c r="AA179" s="29">
        <v>0</v>
      </c>
      <c r="AB179" s="320" t="s">
        <v>369</v>
      </c>
    </row>
    <row r="180" spans="1:28" s="20" customFormat="1" x14ac:dyDescent="0.3">
      <c r="A180" s="39">
        <v>44374</v>
      </c>
      <c r="B180" s="40">
        <v>19.3</v>
      </c>
      <c r="C180" s="14">
        <v>28.4</v>
      </c>
      <c r="D180" s="14">
        <v>17.7</v>
      </c>
      <c r="E180" s="14">
        <v>29.3</v>
      </c>
      <c r="F180" s="14">
        <v>12.4</v>
      </c>
      <c r="G180" s="76">
        <f t="shared" si="10"/>
        <v>16.899999999999999</v>
      </c>
      <c r="H180" s="76">
        <f t="shared" si="11"/>
        <v>20.774999999999999</v>
      </c>
      <c r="I180" s="78">
        <v>20.999166666666618</v>
      </c>
      <c r="J180" s="14">
        <v>19.8</v>
      </c>
      <c r="K180" s="14">
        <v>11.5</v>
      </c>
      <c r="L180" s="78">
        <v>15.845069444444416</v>
      </c>
      <c r="M180" s="84">
        <v>96.5</v>
      </c>
      <c r="N180" s="24">
        <v>45.4</v>
      </c>
      <c r="O180" s="80">
        <v>74.870208333333352</v>
      </c>
      <c r="P180" s="117">
        <v>1017.75608208015</v>
      </c>
      <c r="Q180" s="21">
        <v>1014.85865396652</v>
      </c>
      <c r="R180" s="66">
        <v>1016.5580550150818</v>
      </c>
      <c r="S180" s="71">
        <v>6.1000151614947775</v>
      </c>
      <c r="T180" s="61">
        <v>3.9857241921710695</v>
      </c>
      <c r="U180" s="25">
        <v>1.1852894043520932</v>
      </c>
      <c r="V180" s="218" t="s">
        <v>237</v>
      </c>
      <c r="W180" s="221" t="s">
        <v>213</v>
      </c>
      <c r="X180" s="26">
        <v>4.8</v>
      </c>
      <c r="Y180" s="27">
        <v>1.2</v>
      </c>
      <c r="Z180" s="28">
        <v>0</v>
      </c>
      <c r="AA180" s="29">
        <v>0</v>
      </c>
      <c r="AB180" s="320" t="s">
        <v>370</v>
      </c>
    </row>
    <row r="181" spans="1:28" s="20" customFormat="1" x14ac:dyDescent="0.3">
      <c r="A181" s="39">
        <v>44375</v>
      </c>
      <c r="B181" s="40">
        <v>18.8</v>
      </c>
      <c r="C181" s="14">
        <v>29.4</v>
      </c>
      <c r="D181" s="14">
        <v>19.7</v>
      </c>
      <c r="E181" s="14">
        <v>31.4</v>
      </c>
      <c r="F181" s="14">
        <v>14.3</v>
      </c>
      <c r="G181" s="76">
        <f t="shared" si="10"/>
        <v>17.099999999999998</v>
      </c>
      <c r="H181" s="76">
        <f t="shared" si="11"/>
        <v>21.9</v>
      </c>
      <c r="I181" s="78">
        <v>22.198472222222232</v>
      </c>
      <c r="J181" s="14">
        <v>21.2</v>
      </c>
      <c r="K181" s="14">
        <v>13.3</v>
      </c>
      <c r="L181" s="78">
        <v>16.842847222222186</v>
      </c>
      <c r="M181" s="84">
        <v>95.7</v>
      </c>
      <c r="N181" s="24">
        <v>43.8</v>
      </c>
      <c r="O181" s="80">
        <v>74.398263888888934</v>
      </c>
      <c r="P181" s="117">
        <v>1017.91834842847</v>
      </c>
      <c r="Q181" s="21">
        <v>1014.80424012779</v>
      </c>
      <c r="R181" s="66">
        <v>1016.5723531930101</v>
      </c>
      <c r="S181" s="71">
        <v>3.7000091963165</v>
      </c>
      <c r="T181" s="61">
        <v>2.3357200911109972</v>
      </c>
      <c r="U181" s="25">
        <v>0.81077210444743175</v>
      </c>
      <c r="V181" s="218" t="s">
        <v>238</v>
      </c>
      <c r="W181" s="221"/>
      <c r="X181" s="26">
        <v>0</v>
      </c>
      <c r="Y181" s="27">
        <v>0</v>
      </c>
      <c r="Z181" s="28">
        <v>0</v>
      </c>
      <c r="AA181" s="29">
        <v>0</v>
      </c>
      <c r="AB181" s="320" t="s">
        <v>353</v>
      </c>
    </row>
    <row r="182" spans="1:28" s="20" customFormat="1" x14ac:dyDescent="0.3">
      <c r="A182" s="39">
        <v>44376</v>
      </c>
      <c r="B182" s="40">
        <v>20.100000000000001</v>
      </c>
      <c r="C182" s="14">
        <v>29.6</v>
      </c>
      <c r="D182" s="14">
        <v>20.2</v>
      </c>
      <c r="E182" s="14">
        <v>30</v>
      </c>
      <c r="F182" s="14">
        <v>14.5</v>
      </c>
      <c r="G182" s="76">
        <f>E182-F182</f>
        <v>15.5</v>
      </c>
      <c r="H182" s="76">
        <f>(B182+C182+2*D182)/4</f>
        <v>22.524999999999999</v>
      </c>
      <c r="I182" s="78">
        <v>21.1434722222223</v>
      </c>
      <c r="J182" s="14">
        <v>23</v>
      </c>
      <c r="K182" s="14">
        <v>13.4</v>
      </c>
      <c r="L182" s="78">
        <v>18.197291666666693</v>
      </c>
      <c r="M182" s="84">
        <v>94.5</v>
      </c>
      <c r="N182" s="24">
        <v>60.2</v>
      </c>
      <c r="O182" s="80">
        <v>84.203333333333234</v>
      </c>
      <c r="P182" s="117">
        <v>1016.58464348345</v>
      </c>
      <c r="Q182" s="21">
        <v>1009.93594305923</v>
      </c>
      <c r="R182" s="66">
        <v>1013.170671200201</v>
      </c>
      <c r="S182" s="71">
        <v>5.8000144158475004</v>
      </c>
      <c r="T182" s="61">
        <v>3.7401878676085554</v>
      </c>
      <c r="U182" s="25">
        <v>1.2679036969902482</v>
      </c>
      <c r="V182" s="218" t="s">
        <v>236</v>
      </c>
      <c r="W182" s="221" t="s">
        <v>213</v>
      </c>
      <c r="X182" s="26">
        <v>6</v>
      </c>
      <c r="Y182" s="27">
        <v>2.2000000000000002</v>
      </c>
      <c r="Z182" s="28">
        <v>0</v>
      </c>
      <c r="AA182" s="29">
        <v>0</v>
      </c>
      <c r="AB182" s="320" t="s">
        <v>378</v>
      </c>
    </row>
    <row r="183" spans="1:28" s="399" customFormat="1" ht="15" thickBot="1" x14ac:dyDescent="0.35">
      <c r="A183" s="427">
        <v>44377</v>
      </c>
      <c r="B183" s="379">
        <v>21.1</v>
      </c>
      <c r="C183" s="380">
        <v>31.6</v>
      </c>
      <c r="D183" s="380">
        <v>19.399999999999999</v>
      </c>
      <c r="E183" s="380">
        <v>33.6</v>
      </c>
      <c r="F183" s="380">
        <v>17.8</v>
      </c>
      <c r="G183" s="381">
        <f>E183-F183</f>
        <v>15.8</v>
      </c>
      <c r="H183" s="381">
        <f>(B183+C183+2*D183)/4</f>
        <v>22.875</v>
      </c>
      <c r="I183" s="382">
        <v>23.674722222222233</v>
      </c>
      <c r="J183" s="380">
        <v>24.5</v>
      </c>
      <c r="K183" s="380">
        <v>16.7</v>
      </c>
      <c r="L183" s="382">
        <v>19.416666666666664</v>
      </c>
      <c r="M183" s="383">
        <v>96.3</v>
      </c>
      <c r="N183" s="384">
        <v>44.8</v>
      </c>
      <c r="O183" s="385">
        <v>79.147430555555573</v>
      </c>
      <c r="P183" s="386">
        <v>1009.96652777149</v>
      </c>
      <c r="Q183" s="387">
        <v>1005.27718484335</v>
      </c>
      <c r="R183" s="388">
        <v>1007.9351808631295</v>
      </c>
      <c r="S183" s="389">
        <v>12.900032062833221</v>
      </c>
      <c r="T183" s="390">
        <v>6.6196593102052503</v>
      </c>
      <c r="U183" s="391">
        <v>1.7782224256971366</v>
      </c>
      <c r="V183" s="392" t="s">
        <v>236</v>
      </c>
      <c r="W183" s="393"/>
      <c r="X183" s="394">
        <v>0</v>
      </c>
      <c r="Y183" s="395">
        <v>0</v>
      </c>
      <c r="Z183" s="396">
        <v>0</v>
      </c>
      <c r="AA183" s="397">
        <v>0</v>
      </c>
      <c r="AB183" s="398" t="s">
        <v>291</v>
      </c>
    </row>
    <row r="184" spans="1:28" s="417" customFormat="1" x14ac:dyDescent="0.3">
      <c r="A184" s="428">
        <v>44378</v>
      </c>
      <c r="B184" s="400">
        <v>21.3</v>
      </c>
      <c r="C184" s="401">
        <v>24.8</v>
      </c>
      <c r="D184" s="401">
        <v>16.7</v>
      </c>
      <c r="E184" s="401">
        <v>26.3</v>
      </c>
      <c r="F184" s="401">
        <v>16.5</v>
      </c>
      <c r="G184" s="402">
        <f>E184-F184</f>
        <v>9.8000000000000007</v>
      </c>
      <c r="H184" s="402">
        <f>(B184+C184+2*D184)/4</f>
        <v>19.875</v>
      </c>
      <c r="I184" s="403">
        <v>19.683861874559501</v>
      </c>
      <c r="J184" s="433">
        <v>21.1</v>
      </c>
      <c r="K184" s="401">
        <v>15.3</v>
      </c>
      <c r="L184" s="403">
        <v>17.385130373502367</v>
      </c>
      <c r="M184" s="434">
        <v>95</v>
      </c>
      <c r="N184" s="405">
        <v>64.900000000000006</v>
      </c>
      <c r="O184" s="406">
        <v>87.158562367864604</v>
      </c>
      <c r="P184" s="407">
        <v>1012.07439843994</v>
      </c>
      <c r="Q184" s="408">
        <v>1008.0647426716901</v>
      </c>
      <c r="R184" s="409">
        <v>1009.9927560750194</v>
      </c>
      <c r="S184" s="372">
        <v>7.5000186411821108</v>
      </c>
      <c r="T184" s="373">
        <v>4.5428684340874437</v>
      </c>
      <c r="U184" s="373">
        <v>0.94543885781039017</v>
      </c>
      <c r="V184" s="374" t="s">
        <v>238</v>
      </c>
      <c r="W184" s="411" t="s">
        <v>265</v>
      </c>
      <c r="X184" s="412">
        <v>40.799999999999997</v>
      </c>
      <c r="Y184" s="413">
        <v>10.7</v>
      </c>
      <c r="Z184" s="414">
        <v>0</v>
      </c>
      <c r="AA184" s="415">
        <v>0</v>
      </c>
      <c r="AB184" s="416" t="s">
        <v>385</v>
      </c>
    </row>
    <row r="185" spans="1:28" s="20" customFormat="1" ht="28.8" x14ac:dyDescent="0.3">
      <c r="A185" s="429">
        <v>44379</v>
      </c>
      <c r="B185" s="40">
        <v>17</v>
      </c>
      <c r="C185" s="14">
        <v>26.6</v>
      </c>
      <c r="D185" s="14">
        <v>16.399999999999999</v>
      </c>
      <c r="E185" s="14">
        <v>27.2</v>
      </c>
      <c r="F185" s="14">
        <v>15</v>
      </c>
      <c r="G185" s="76">
        <f>E185-F185</f>
        <v>12.2</v>
      </c>
      <c r="H185" s="76">
        <f>(B185+C185+2*D185)/4</f>
        <v>19.100000000000001</v>
      </c>
      <c r="I185" s="78">
        <v>19.40763888888894</v>
      </c>
      <c r="J185" s="203">
        <v>21.1</v>
      </c>
      <c r="K185" s="14">
        <v>13.8</v>
      </c>
      <c r="L185" s="78">
        <v>16.371458333333322</v>
      </c>
      <c r="M185" s="193">
        <v>96.8</v>
      </c>
      <c r="N185" s="31">
        <v>57.9</v>
      </c>
      <c r="O185" s="109">
        <v>83.620972222222107</v>
      </c>
      <c r="P185" s="117">
        <v>1012.53892210437</v>
      </c>
      <c r="Q185" s="21">
        <v>1009.98811077736</v>
      </c>
      <c r="R185" s="70">
        <v>1011.5312298165944</v>
      </c>
      <c r="S185" s="71">
        <v>7.5000186411821108</v>
      </c>
      <c r="T185" s="61">
        <v>4.6723330415840412</v>
      </c>
      <c r="U185" s="25">
        <v>1.2268259659239193</v>
      </c>
      <c r="V185" s="218" t="s">
        <v>240</v>
      </c>
      <c r="W185" s="219" t="s">
        <v>224</v>
      </c>
      <c r="X185" s="16">
        <v>0</v>
      </c>
      <c r="Y185" s="17">
        <v>0</v>
      </c>
      <c r="Z185" s="18">
        <v>0</v>
      </c>
      <c r="AA185" s="43">
        <v>0</v>
      </c>
      <c r="AB185" s="319" t="s">
        <v>386</v>
      </c>
    </row>
    <row r="186" spans="1:28" s="20" customFormat="1" x14ac:dyDescent="0.3">
      <c r="A186" s="429">
        <v>44380</v>
      </c>
      <c r="B186" s="40">
        <v>18.5</v>
      </c>
      <c r="C186" s="14">
        <v>21.2</v>
      </c>
      <c r="D186" s="14">
        <v>16.5</v>
      </c>
      <c r="E186" s="14">
        <v>23.1</v>
      </c>
      <c r="F186" s="14">
        <v>14.2</v>
      </c>
      <c r="G186" s="76">
        <f t="shared" ref="G186:G213" si="12">E186-F186</f>
        <v>8.9000000000000021</v>
      </c>
      <c r="H186" s="76">
        <f t="shared" ref="H186:H213" si="13">(B186+C186+2*D186)/4</f>
        <v>18.175000000000001</v>
      </c>
      <c r="I186" s="78">
        <v>18.040694444444384</v>
      </c>
      <c r="J186" s="203">
        <v>17.8</v>
      </c>
      <c r="K186" s="14">
        <v>13.2</v>
      </c>
      <c r="L186" s="78">
        <v>15.535069444444449</v>
      </c>
      <c r="M186" s="193">
        <v>95.5</v>
      </c>
      <c r="N186" s="31">
        <v>66.3</v>
      </c>
      <c r="O186" s="109">
        <v>85.945763888888933</v>
      </c>
      <c r="P186" s="117">
        <v>1012.48570055995</v>
      </c>
      <c r="Q186" s="21">
        <v>1011.36042946716</v>
      </c>
      <c r="R186" s="70">
        <v>1011.9094282837818</v>
      </c>
      <c r="S186" s="71">
        <v>7.8000193868293888</v>
      </c>
      <c r="T186" s="61">
        <v>4.835726304838361</v>
      </c>
      <c r="U186" s="25">
        <v>1.1364549575779965</v>
      </c>
      <c r="V186" s="218" t="s">
        <v>238</v>
      </c>
      <c r="W186" s="219" t="s">
        <v>213</v>
      </c>
      <c r="X186" s="16">
        <v>1.2</v>
      </c>
      <c r="Y186" s="17">
        <v>0.7</v>
      </c>
      <c r="Z186" s="18">
        <v>0</v>
      </c>
      <c r="AA186" s="43">
        <v>0</v>
      </c>
      <c r="AB186" s="319" t="s">
        <v>212</v>
      </c>
    </row>
    <row r="187" spans="1:28" s="20" customFormat="1" x14ac:dyDescent="0.3">
      <c r="A187" s="429">
        <v>44381</v>
      </c>
      <c r="B187" s="40">
        <v>17.2</v>
      </c>
      <c r="C187" s="14">
        <v>22.8</v>
      </c>
      <c r="D187" s="14">
        <v>16.8</v>
      </c>
      <c r="E187" s="14">
        <v>23.2</v>
      </c>
      <c r="F187" s="14">
        <v>13.9</v>
      </c>
      <c r="G187" s="76">
        <f t="shared" si="12"/>
        <v>9.2999999999999989</v>
      </c>
      <c r="H187" s="76">
        <f t="shared" si="13"/>
        <v>18.399999999999999</v>
      </c>
      <c r="I187" s="78">
        <v>18.316736111111155</v>
      </c>
      <c r="J187" s="203">
        <v>19.600000000000001</v>
      </c>
      <c r="K187" s="14">
        <v>12.9</v>
      </c>
      <c r="L187" s="78">
        <v>16.258680555555557</v>
      </c>
      <c r="M187" s="193">
        <v>95.9</v>
      </c>
      <c r="N187" s="31">
        <v>70.5</v>
      </c>
      <c r="O187" s="109">
        <v>88.235416666666765</v>
      </c>
      <c r="P187" s="117">
        <v>1012.9238900265</v>
      </c>
      <c r="Q187" s="21">
        <v>1009.44847968791</v>
      </c>
      <c r="R187" s="70">
        <v>1011.1260656014726</v>
      </c>
      <c r="S187" s="72">
        <v>3.7000091963165</v>
      </c>
      <c r="T187" s="62">
        <v>2.4303631834878181</v>
      </c>
      <c r="U187" s="19">
        <v>0.67168859076805854</v>
      </c>
      <c r="V187" s="218" t="s">
        <v>236</v>
      </c>
      <c r="W187" s="220" t="s">
        <v>213</v>
      </c>
      <c r="X187" s="16">
        <v>2.4</v>
      </c>
      <c r="Y187" s="17">
        <v>2.2000000000000002</v>
      </c>
      <c r="Z187" s="18">
        <v>0</v>
      </c>
      <c r="AA187" s="43">
        <v>0</v>
      </c>
      <c r="AB187" s="319" t="s">
        <v>209</v>
      </c>
    </row>
    <row r="188" spans="1:28" s="20" customFormat="1" x14ac:dyDescent="0.3">
      <c r="A188" s="429">
        <v>44382</v>
      </c>
      <c r="B188" s="40">
        <v>15</v>
      </c>
      <c r="C188" s="14">
        <v>29.1</v>
      </c>
      <c r="D188" s="14">
        <v>20.3</v>
      </c>
      <c r="E188" s="14">
        <v>31.2</v>
      </c>
      <c r="F188" s="14">
        <v>12.4</v>
      </c>
      <c r="G188" s="76">
        <f t="shared" si="12"/>
        <v>18.799999999999997</v>
      </c>
      <c r="H188" s="76">
        <f t="shared" si="13"/>
        <v>21.175000000000001</v>
      </c>
      <c r="I188" s="78">
        <v>21.209027777777766</v>
      </c>
      <c r="J188" s="203">
        <v>21.2</v>
      </c>
      <c r="K188" s="14">
        <v>11.5</v>
      </c>
      <c r="L188" s="78">
        <v>16.0723611111111</v>
      </c>
      <c r="M188" s="193">
        <v>96.7</v>
      </c>
      <c r="N188" s="31">
        <v>43.9</v>
      </c>
      <c r="O188" s="109">
        <v>75.579444444444462</v>
      </c>
      <c r="P188" s="117">
        <v>1012.94164096256</v>
      </c>
      <c r="Q188" s="21">
        <v>1008.43193207738</v>
      </c>
      <c r="R188" s="70">
        <v>1010.2465694397849</v>
      </c>
      <c r="S188" s="71">
        <v>4.4000109361601663</v>
      </c>
      <c r="T188" s="61">
        <v>2.2928628417328136</v>
      </c>
      <c r="U188" s="25">
        <v>0.76831788186461569</v>
      </c>
      <c r="V188" s="218" t="s">
        <v>236</v>
      </c>
      <c r="W188" s="220"/>
      <c r="X188" s="16">
        <v>0</v>
      </c>
      <c r="Y188" s="17">
        <v>0</v>
      </c>
      <c r="Z188" s="18">
        <v>0</v>
      </c>
      <c r="AA188" s="43">
        <v>0</v>
      </c>
      <c r="AB188" s="319" t="s">
        <v>390</v>
      </c>
    </row>
    <row r="189" spans="1:28" s="20" customFormat="1" x14ac:dyDescent="0.3">
      <c r="A189" s="429">
        <v>44383</v>
      </c>
      <c r="B189" s="40">
        <v>20.9</v>
      </c>
      <c r="C189" s="14">
        <v>32.799999999999997</v>
      </c>
      <c r="D189" s="14">
        <v>19.8</v>
      </c>
      <c r="E189" s="14">
        <v>33</v>
      </c>
      <c r="F189" s="14">
        <v>13.2</v>
      </c>
      <c r="G189" s="76">
        <f t="shared" si="12"/>
        <v>19.8</v>
      </c>
      <c r="H189" s="76">
        <f t="shared" si="13"/>
        <v>23.324999999999999</v>
      </c>
      <c r="I189" s="78">
        <v>23.137708333333347</v>
      </c>
      <c r="J189" s="203">
        <v>21.7</v>
      </c>
      <c r="K189" s="14">
        <v>12.3</v>
      </c>
      <c r="L189" s="78">
        <v>16.783125000000009</v>
      </c>
      <c r="M189" s="193">
        <v>95.7</v>
      </c>
      <c r="N189" s="31">
        <v>39.1</v>
      </c>
      <c r="O189" s="109">
        <v>71.137499999999989</v>
      </c>
      <c r="P189" s="117">
        <v>1014.97348236108</v>
      </c>
      <c r="Q189" s="21">
        <v>1011.6305518481799</v>
      </c>
      <c r="R189" s="70">
        <v>1013.2626491981927</v>
      </c>
      <c r="S189" s="71">
        <v>5.1000126760038338</v>
      </c>
      <c r="T189" s="61">
        <v>2.9357215824055638</v>
      </c>
      <c r="U189" s="25">
        <v>1.0322136270591853</v>
      </c>
      <c r="V189" s="218" t="s">
        <v>236</v>
      </c>
      <c r="W189" s="220"/>
      <c r="X189" s="16">
        <v>0</v>
      </c>
      <c r="Y189" s="17">
        <v>0</v>
      </c>
      <c r="Z189" s="18">
        <v>0</v>
      </c>
      <c r="AA189" s="43">
        <v>0</v>
      </c>
      <c r="AB189" s="319" t="s">
        <v>330</v>
      </c>
    </row>
    <row r="190" spans="1:28" s="20" customFormat="1" x14ac:dyDescent="0.3">
      <c r="A190" s="429">
        <v>44384</v>
      </c>
      <c r="B190" s="40">
        <v>21.5</v>
      </c>
      <c r="C190" s="14">
        <v>32.6</v>
      </c>
      <c r="D190" s="14">
        <v>21.8</v>
      </c>
      <c r="E190" s="14">
        <v>34.4</v>
      </c>
      <c r="F190" s="14">
        <v>13.8</v>
      </c>
      <c r="G190" s="76">
        <f t="shared" si="12"/>
        <v>20.599999999999998</v>
      </c>
      <c r="H190" s="76">
        <f t="shared" si="13"/>
        <v>24.425000000000001</v>
      </c>
      <c r="I190" s="78">
        <v>24.232777777777752</v>
      </c>
      <c r="J190" s="203">
        <v>23.2</v>
      </c>
      <c r="K190" s="14">
        <v>12.9</v>
      </c>
      <c r="L190" s="78">
        <v>18.050000000000011</v>
      </c>
      <c r="M190" s="193">
        <v>96.3</v>
      </c>
      <c r="N190" s="31">
        <v>41.5</v>
      </c>
      <c r="O190" s="109">
        <v>71.788611111111109</v>
      </c>
      <c r="P190" s="117">
        <v>1018.84645264913</v>
      </c>
      <c r="Q190" s="21">
        <v>1014.96361641714</v>
      </c>
      <c r="R190" s="70">
        <v>1015.9737726594989</v>
      </c>
      <c r="S190" s="71">
        <v>5.8000144158475004</v>
      </c>
      <c r="T190" s="61">
        <v>3.5142944490110413</v>
      </c>
      <c r="U190" s="25">
        <v>1.08027302230373</v>
      </c>
      <c r="V190" s="218" t="s">
        <v>303</v>
      </c>
      <c r="W190" s="220"/>
      <c r="X190" s="16">
        <v>0</v>
      </c>
      <c r="Y190" s="17">
        <v>0</v>
      </c>
      <c r="Z190" s="18">
        <v>0</v>
      </c>
      <c r="AA190" s="43">
        <v>0</v>
      </c>
      <c r="AB190" s="319" t="s">
        <v>391</v>
      </c>
    </row>
    <row r="191" spans="1:28" s="20" customFormat="1" x14ac:dyDescent="0.3">
      <c r="A191" s="429">
        <v>44385</v>
      </c>
      <c r="B191" s="40">
        <v>23</v>
      </c>
      <c r="C191" s="14">
        <v>34.5</v>
      </c>
      <c r="D191" s="14">
        <v>24.5</v>
      </c>
      <c r="E191" s="14">
        <v>35.200000000000003</v>
      </c>
      <c r="F191" s="14">
        <v>15.4</v>
      </c>
      <c r="G191" s="76">
        <f t="shared" si="12"/>
        <v>19.800000000000004</v>
      </c>
      <c r="H191" s="76">
        <f t="shared" si="13"/>
        <v>26.625</v>
      </c>
      <c r="I191" s="78">
        <v>25.813333333333301</v>
      </c>
      <c r="J191" s="203">
        <v>24.4</v>
      </c>
      <c r="K191" s="14">
        <v>14.4</v>
      </c>
      <c r="L191" s="78">
        <v>18.988888888888933</v>
      </c>
      <c r="M191" s="193">
        <v>96.2</v>
      </c>
      <c r="N191" s="31">
        <v>36.5</v>
      </c>
      <c r="O191" s="109">
        <v>69.694166666666703</v>
      </c>
      <c r="P191" s="117">
        <v>1020.34259375243</v>
      </c>
      <c r="Q191" s="21">
        <v>1017.0984916797</v>
      </c>
      <c r="R191" s="70">
        <v>1018.840407160055</v>
      </c>
      <c r="S191" s="71">
        <v>7.5000186411821108</v>
      </c>
      <c r="T191" s="61">
        <v>4.4642968102274443</v>
      </c>
      <c r="U191" s="25">
        <v>1.4108169986276533</v>
      </c>
      <c r="V191" s="218" t="s">
        <v>233</v>
      </c>
      <c r="W191" s="220"/>
      <c r="X191" s="16">
        <v>0</v>
      </c>
      <c r="Y191" s="17">
        <v>0</v>
      </c>
      <c r="Z191" s="18">
        <v>0</v>
      </c>
      <c r="AA191" s="43">
        <v>0</v>
      </c>
      <c r="AB191" s="319" t="s">
        <v>392</v>
      </c>
    </row>
    <row r="192" spans="1:28" s="20" customFormat="1" x14ac:dyDescent="0.3">
      <c r="A192" s="429">
        <v>44386</v>
      </c>
      <c r="B192" s="40">
        <v>25.4</v>
      </c>
      <c r="C192" s="14">
        <v>33</v>
      </c>
      <c r="D192" s="14">
        <v>23</v>
      </c>
      <c r="E192" s="14">
        <v>33.299999999999997</v>
      </c>
      <c r="F192" s="14">
        <v>17.600000000000001</v>
      </c>
      <c r="G192" s="76">
        <f t="shared" si="12"/>
        <v>15.699999999999996</v>
      </c>
      <c r="H192" s="76">
        <f t="shared" si="13"/>
        <v>26.1</v>
      </c>
      <c r="I192" s="78">
        <v>25.505347222222195</v>
      </c>
      <c r="J192" s="203">
        <v>23.7</v>
      </c>
      <c r="K192" s="14">
        <v>16.5</v>
      </c>
      <c r="L192" s="78">
        <v>20.158888888888882</v>
      </c>
      <c r="M192" s="193">
        <v>95.4</v>
      </c>
      <c r="N192" s="31">
        <v>52.4</v>
      </c>
      <c r="O192" s="109">
        <v>74.151111111111035</v>
      </c>
      <c r="P192" s="117">
        <v>1019.0060927708701</v>
      </c>
      <c r="Q192" s="21">
        <v>1013.8938144863801</v>
      </c>
      <c r="R192" s="70">
        <v>1016.5324332808725</v>
      </c>
      <c r="S192" s="71">
        <v>9.500023612164</v>
      </c>
      <c r="T192" s="61">
        <v>5.3357275475838328</v>
      </c>
      <c r="U192" s="25">
        <v>2.3514815390159933</v>
      </c>
      <c r="V192" s="218" t="s">
        <v>242</v>
      </c>
      <c r="W192" s="220" t="s">
        <v>213</v>
      </c>
      <c r="X192" s="16">
        <v>37.200000000000003</v>
      </c>
      <c r="Y192" s="17">
        <v>23.6</v>
      </c>
      <c r="Z192" s="18">
        <v>0</v>
      </c>
      <c r="AA192" s="43">
        <v>0</v>
      </c>
      <c r="AB192" s="319" t="s">
        <v>397</v>
      </c>
    </row>
    <row r="193" spans="1:28" s="20" customFormat="1" x14ac:dyDescent="0.3">
      <c r="A193" s="429">
        <v>44387</v>
      </c>
      <c r="B193" s="40">
        <v>19.399999999999999</v>
      </c>
      <c r="C193" s="14">
        <v>29.2</v>
      </c>
      <c r="D193" s="14">
        <v>19.5</v>
      </c>
      <c r="E193" s="14">
        <v>29.5</v>
      </c>
      <c r="F193" s="14">
        <v>17.8</v>
      </c>
      <c r="G193" s="76">
        <f t="shared" si="12"/>
        <v>11.7</v>
      </c>
      <c r="H193" s="76">
        <f t="shared" si="13"/>
        <v>21.9</v>
      </c>
      <c r="I193" s="78">
        <v>22.497152777777739</v>
      </c>
      <c r="J193" s="203">
        <v>24</v>
      </c>
      <c r="K193" s="14">
        <v>16.3</v>
      </c>
      <c r="L193" s="78">
        <v>19.222083333333398</v>
      </c>
      <c r="M193" s="193">
        <v>94.9</v>
      </c>
      <c r="N193" s="31">
        <v>61.7</v>
      </c>
      <c r="O193" s="109">
        <v>82.584513888888893</v>
      </c>
      <c r="P193" s="117">
        <v>1019.10536438643</v>
      </c>
      <c r="Q193" s="21">
        <v>1015.7591145295401</v>
      </c>
      <c r="R193" s="70">
        <v>1017.2975718761295</v>
      </c>
      <c r="S193" s="71">
        <v>7.5000186411821108</v>
      </c>
      <c r="T193" s="61">
        <v>4.5598327619663195</v>
      </c>
      <c r="U193" s="25">
        <v>1.7650341488702557</v>
      </c>
      <c r="V193" s="218" t="s">
        <v>240</v>
      </c>
      <c r="W193" s="220"/>
      <c r="X193" s="16">
        <v>0</v>
      </c>
      <c r="Y193" s="17">
        <v>0</v>
      </c>
      <c r="Z193" s="18">
        <v>0</v>
      </c>
      <c r="AA193" s="43">
        <v>0</v>
      </c>
      <c r="AB193" s="319" t="s">
        <v>211</v>
      </c>
    </row>
    <row r="194" spans="1:28" s="20" customFormat="1" x14ac:dyDescent="0.3">
      <c r="A194" s="429">
        <v>44388</v>
      </c>
      <c r="B194" s="40">
        <v>21.1</v>
      </c>
      <c r="C194" s="14">
        <v>32.4</v>
      </c>
      <c r="D194" s="14">
        <v>19.100000000000001</v>
      </c>
      <c r="E194" s="14">
        <v>32.700000000000003</v>
      </c>
      <c r="F194" s="14">
        <v>15.8</v>
      </c>
      <c r="G194" s="76">
        <f t="shared" si="12"/>
        <v>16.900000000000002</v>
      </c>
      <c r="H194" s="76">
        <f t="shared" si="13"/>
        <v>22.925000000000001</v>
      </c>
      <c r="I194" s="78">
        <v>21.592083333333321</v>
      </c>
      <c r="J194" s="203">
        <v>25.3</v>
      </c>
      <c r="K194" s="14">
        <v>14.8</v>
      </c>
      <c r="L194" s="78">
        <v>18.668124999999957</v>
      </c>
      <c r="M194" s="193">
        <v>95.6</v>
      </c>
      <c r="N194" s="31">
        <v>52.8</v>
      </c>
      <c r="O194" s="109">
        <v>84.879236111110984</v>
      </c>
      <c r="P194" s="117">
        <v>1017.32244289882</v>
      </c>
      <c r="Q194" s="21">
        <v>1012.90702153648</v>
      </c>
      <c r="R194" s="70">
        <v>1015.7438419121067</v>
      </c>
      <c r="S194" s="71">
        <v>8.8000218723203325</v>
      </c>
      <c r="T194" s="61">
        <v>5.9285861639820414</v>
      </c>
      <c r="U194" s="25">
        <v>1.1120129325420018</v>
      </c>
      <c r="V194" s="218" t="s">
        <v>235</v>
      </c>
      <c r="W194" s="220" t="s">
        <v>213</v>
      </c>
      <c r="X194" s="16">
        <v>18</v>
      </c>
      <c r="Y194" s="17">
        <v>6.9</v>
      </c>
      <c r="Z194" s="18">
        <v>0</v>
      </c>
      <c r="AA194" s="43">
        <v>0</v>
      </c>
      <c r="AB194" s="319" t="s">
        <v>339</v>
      </c>
    </row>
    <row r="195" spans="1:28" s="20" customFormat="1" x14ac:dyDescent="0.3">
      <c r="A195" s="429">
        <v>44389</v>
      </c>
      <c r="B195" s="40">
        <v>20.2</v>
      </c>
      <c r="C195" s="14">
        <v>31</v>
      </c>
      <c r="D195" s="14">
        <v>19.100000000000001</v>
      </c>
      <c r="E195" s="14">
        <v>31.5</v>
      </c>
      <c r="F195" s="14">
        <v>16.600000000000001</v>
      </c>
      <c r="G195" s="76">
        <f t="shared" si="12"/>
        <v>14.899999999999999</v>
      </c>
      <c r="H195" s="76">
        <f t="shared" si="13"/>
        <v>22.35</v>
      </c>
      <c r="I195" s="78">
        <v>21.825694444444437</v>
      </c>
      <c r="J195" s="203">
        <v>23.9</v>
      </c>
      <c r="K195" s="14">
        <v>15.9</v>
      </c>
      <c r="L195" s="78">
        <v>18.670972222222169</v>
      </c>
      <c r="M195" s="193">
        <v>97.1</v>
      </c>
      <c r="N195" s="31">
        <v>51.2</v>
      </c>
      <c r="O195" s="109">
        <v>84.097986111111382</v>
      </c>
      <c r="P195" s="117">
        <v>1015.84229012869</v>
      </c>
      <c r="Q195" s="21">
        <v>1011.61299264771</v>
      </c>
      <c r="R195" s="70">
        <v>1014.1563780416564</v>
      </c>
      <c r="S195" s="71">
        <v>6.5000161556911662</v>
      </c>
      <c r="T195" s="61">
        <v>3.7571521954874161</v>
      </c>
      <c r="U195" s="25">
        <v>1.1786053599612267</v>
      </c>
      <c r="V195" s="218" t="s">
        <v>235</v>
      </c>
      <c r="W195" s="220" t="s">
        <v>213</v>
      </c>
      <c r="X195" s="16">
        <v>28.8</v>
      </c>
      <c r="Y195" s="17">
        <v>9</v>
      </c>
      <c r="Z195" s="18">
        <v>0</v>
      </c>
      <c r="AA195" s="43">
        <v>0</v>
      </c>
      <c r="AB195" s="319" t="s">
        <v>339</v>
      </c>
    </row>
    <row r="196" spans="1:28" s="20" customFormat="1" ht="28.8" x14ac:dyDescent="0.3">
      <c r="A196" s="429">
        <v>44390</v>
      </c>
      <c r="B196" s="40">
        <v>17.899999999999999</v>
      </c>
      <c r="C196" s="14">
        <v>30.9</v>
      </c>
      <c r="D196" s="14">
        <v>21.6</v>
      </c>
      <c r="E196" s="14">
        <v>31.6</v>
      </c>
      <c r="F196" s="14">
        <v>16.399999999999999</v>
      </c>
      <c r="G196" s="76">
        <f t="shared" si="12"/>
        <v>15.200000000000003</v>
      </c>
      <c r="H196" s="76">
        <f t="shared" si="13"/>
        <v>23</v>
      </c>
      <c r="I196" s="78">
        <v>23.561388888888896</v>
      </c>
      <c r="J196" s="203">
        <v>24.4</v>
      </c>
      <c r="K196" s="14">
        <v>15.5</v>
      </c>
      <c r="L196" s="78">
        <v>19.393541666666685</v>
      </c>
      <c r="M196" s="193">
        <v>96.4</v>
      </c>
      <c r="N196" s="31">
        <v>49.9</v>
      </c>
      <c r="O196" s="109">
        <v>79.670555555555509</v>
      </c>
      <c r="P196" s="117">
        <v>1013.5005270921</v>
      </c>
      <c r="Q196" s="21">
        <v>1009.92986881033</v>
      </c>
      <c r="R196" s="70">
        <v>1011.9156278228248</v>
      </c>
      <c r="S196" s="71">
        <v>8.2000203810257499</v>
      </c>
      <c r="T196" s="61">
        <v>4.750011806082</v>
      </c>
      <c r="U196" s="25">
        <v>1.4622907542103913</v>
      </c>
      <c r="V196" s="218" t="s">
        <v>240</v>
      </c>
      <c r="W196" s="221"/>
      <c r="X196" s="26">
        <v>0</v>
      </c>
      <c r="Y196" s="27">
        <v>0</v>
      </c>
      <c r="Z196" s="28">
        <v>0</v>
      </c>
      <c r="AA196" s="29">
        <v>0</v>
      </c>
      <c r="AB196" s="320" t="s">
        <v>410</v>
      </c>
    </row>
    <row r="197" spans="1:28" s="20" customFormat="1" ht="28.8" x14ac:dyDescent="0.3">
      <c r="A197" s="429">
        <v>44391</v>
      </c>
      <c r="B197" s="40">
        <v>21.8</v>
      </c>
      <c r="C197" s="14">
        <v>33.1</v>
      </c>
      <c r="D197" s="14">
        <v>22.8</v>
      </c>
      <c r="E197" s="14">
        <v>33.6</v>
      </c>
      <c r="F197" s="14">
        <v>17.3</v>
      </c>
      <c r="G197" s="76">
        <f t="shared" si="12"/>
        <v>16.3</v>
      </c>
      <c r="H197" s="76">
        <f t="shared" si="13"/>
        <v>25.125</v>
      </c>
      <c r="I197" s="78">
        <v>25.388194444444434</v>
      </c>
      <c r="J197" s="203">
        <v>24.6</v>
      </c>
      <c r="K197" s="14">
        <v>16.5</v>
      </c>
      <c r="L197" s="78">
        <v>20.257777777777832</v>
      </c>
      <c r="M197" s="193">
        <v>95.9</v>
      </c>
      <c r="N197" s="31">
        <v>50.7</v>
      </c>
      <c r="O197" s="109">
        <v>75.603055555555585</v>
      </c>
      <c r="P197" s="117">
        <v>1013.15654752049</v>
      </c>
      <c r="Q197" s="21">
        <v>1009.3124413096</v>
      </c>
      <c r="R197" s="70">
        <v>1011.5134677259638</v>
      </c>
      <c r="S197" s="71">
        <v>6.8000169013384442</v>
      </c>
      <c r="T197" s="61">
        <v>4.8571549295274581</v>
      </c>
      <c r="U197" s="25">
        <v>1.5463890121771311</v>
      </c>
      <c r="V197" s="218" t="s">
        <v>242</v>
      </c>
      <c r="W197" s="221"/>
      <c r="X197" s="26">
        <v>0</v>
      </c>
      <c r="Y197" s="27">
        <v>0</v>
      </c>
      <c r="Z197" s="28">
        <v>0</v>
      </c>
      <c r="AA197" s="29">
        <v>0</v>
      </c>
      <c r="AB197" s="320" t="s">
        <v>411</v>
      </c>
    </row>
    <row r="198" spans="1:28" s="20" customFormat="1" x14ac:dyDescent="0.3">
      <c r="A198" s="429">
        <v>44392</v>
      </c>
      <c r="B198" s="40">
        <v>23.6</v>
      </c>
      <c r="C198" s="14">
        <v>22.5</v>
      </c>
      <c r="D198" s="14">
        <v>21.2</v>
      </c>
      <c r="E198" s="14">
        <v>27</v>
      </c>
      <c r="F198" s="14">
        <v>20.100000000000001</v>
      </c>
      <c r="G198" s="76">
        <f t="shared" si="12"/>
        <v>6.8999999999999986</v>
      </c>
      <c r="H198" s="76">
        <f t="shared" si="13"/>
        <v>22.125</v>
      </c>
      <c r="I198" s="78">
        <v>22.516452991452987</v>
      </c>
      <c r="J198" s="203">
        <v>24.3</v>
      </c>
      <c r="K198" s="14">
        <v>19.2</v>
      </c>
      <c r="L198" s="78">
        <v>20.642236467236447</v>
      </c>
      <c r="M198" s="193">
        <v>94.8</v>
      </c>
      <c r="N198" s="31">
        <v>76.7</v>
      </c>
      <c r="O198" s="109">
        <v>89.293660968660873</v>
      </c>
      <c r="P198" s="117">
        <v>1013.67610966121</v>
      </c>
      <c r="Q198" s="21">
        <v>1010.55663955048</v>
      </c>
      <c r="R198" s="70">
        <v>1012.1399491698653</v>
      </c>
      <c r="S198" s="71">
        <v>5.4000134216511109</v>
      </c>
      <c r="T198" s="61">
        <v>2.6348279773962404</v>
      </c>
      <c r="U198" s="25">
        <v>0.89692683247258509</v>
      </c>
      <c r="V198" s="218" t="s">
        <v>240</v>
      </c>
      <c r="W198" s="221" t="s">
        <v>213</v>
      </c>
      <c r="X198" s="26">
        <v>8.4</v>
      </c>
      <c r="Y198" s="27">
        <v>1.8</v>
      </c>
      <c r="Z198" s="28">
        <v>0</v>
      </c>
      <c r="AA198" s="29">
        <v>0</v>
      </c>
      <c r="AB198" s="320" t="s">
        <v>423</v>
      </c>
    </row>
    <row r="199" spans="1:28" s="20" customFormat="1" x14ac:dyDescent="0.3">
      <c r="A199" s="429">
        <v>44393</v>
      </c>
      <c r="B199" s="40">
        <v>19.899999999999999</v>
      </c>
      <c r="C199" s="14">
        <v>30.3</v>
      </c>
      <c r="D199" s="14">
        <v>19.8</v>
      </c>
      <c r="E199" s="14">
        <v>32.299999999999997</v>
      </c>
      <c r="F199" s="14">
        <v>16.600000000000001</v>
      </c>
      <c r="G199" s="76">
        <f t="shared" si="12"/>
        <v>15.699999999999996</v>
      </c>
      <c r="H199" s="76">
        <f t="shared" si="13"/>
        <v>22.450000000000003</v>
      </c>
      <c r="I199" s="78">
        <v>23.121874999999946</v>
      </c>
      <c r="J199" s="203">
        <v>25</v>
      </c>
      <c r="K199" s="14">
        <v>15.8</v>
      </c>
      <c r="L199" s="78">
        <v>19.559513888888908</v>
      </c>
      <c r="M199" s="193">
        <v>97</v>
      </c>
      <c r="N199" s="31">
        <v>50.6</v>
      </c>
      <c r="O199" s="109">
        <v>82.130902777777735</v>
      </c>
      <c r="P199" s="117">
        <v>1014.47535984326</v>
      </c>
      <c r="Q199" s="21">
        <v>1011.05303015887</v>
      </c>
      <c r="R199" s="70">
        <v>1012.9073736702074</v>
      </c>
      <c r="S199" s="71">
        <v>9.9000246063603612</v>
      </c>
      <c r="T199" s="61">
        <v>6.5919806699818473</v>
      </c>
      <c r="U199" s="25">
        <v>1.0244135084657608</v>
      </c>
      <c r="V199" s="218" t="s">
        <v>237</v>
      </c>
      <c r="W199" s="221" t="s">
        <v>213</v>
      </c>
      <c r="X199" s="26">
        <v>1.2</v>
      </c>
      <c r="Y199" s="27">
        <v>0.5</v>
      </c>
      <c r="Z199" s="28">
        <v>0</v>
      </c>
      <c r="AA199" s="29">
        <v>0</v>
      </c>
      <c r="AB199" s="320" t="s">
        <v>305</v>
      </c>
    </row>
    <row r="200" spans="1:28" s="20" customFormat="1" x14ac:dyDescent="0.3">
      <c r="A200" s="429">
        <v>44394</v>
      </c>
      <c r="B200" s="40">
        <v>23.8</v>
      </c>
      <c r="C200" s="14">
        <v>29.4</v>
      </c>
      <c r="D200" s="14">
        <v>23.3</v>
      </c>
      <c r="E200" s="14">
        <v>32.9</v>
      </c>
      <c r="F200" s="14">
        <v>17.8</v>
      </c>
      <c r="G200" s="76">
        <f t="shared" si="12"/>
        <v>15.099999999999998</v>
      </c>
      <c r="H200" s="76">
        <f t="shared" si="13"/>
        <v>24.950000000000003</v>
      </c>
      <c r="I200" s="78">
        <v>25.121111111111091</v>
      </c>
      <c r="J200" s="203">
        <v>25.9</v>
      </c>
      <c r="K200" s="14">
        <v>16.899999999999999</v>
      </c>
      <c r="L200" s="78">
        <v>21.260833333333359</v>
      </c>
      <c r="M200" s="193">
        <v>97.2</v>
      </c>
      <c r="N200" s="31">
        <v>55.9</v>
      </c>
      <c r="O200" s="109">
        <v>80.516666666666652</v>
      </c>
      <c r="P200" s="117">
        <v>1013.21402453148</v>
      </c>
      <c r="Q200" s="21">
        <v>1009.50086135098</v>
      </c>
      <c r="R200" s="70">
        <v>1011.4594540065516</v>
      </c>
      <c r="S200" s="71">
        <v>5.1000126760038338</v>
      </c>
      <c r="T200" s="61">
        <v>3.292865327223764</v>
      </c>
      <c r="U200" s="25">
        <v>1.2190258473304942</v>
      </c>
      <c r="V200" s="218" t="s">
        <v>240</v>
      </c>
      <c r="W200" s="221" t="s">
        <v>224</v>
      </c>
      <c r="X200" s="26">
        <v>0</v>
      </c>
      <c r="Y200" s="27">
        <v>0</v>
      </c>
      <c r="Z200" s="28">
        <v>0</v>
      </c>
      <c r="AA200" s="29">
        <v>0</v>
      </c>
      <c r="AB200" s="320" t="s">
        <v>428</v>
      </c>
    </row>
    <row r="201" spans="1:28" s="20" customFormat="1" x14ac:dyDescent="0.3">
      <c r="A201" s="429">
        <v>44395</v>
      </c>
      <c r="B201" s="40">
        <v>23.4</v>
      </c>
      <c r="C201" s="14">
        <v>30.1</v>
      </c>
      <c r="D201" s="14">
        <v>19.899999999999999</v>
      </c>
      <c r="E201" s="14">
        <v>31.1</v>
      </c>
      <c r="F201" s="14">
        <v>18.399999999999999</v>
      </c>
      <c r="G201" s="76">
        <f t="shared" si="12"/>
        <v>12.700000000000003</v>
      </c>
      <c r="H201" s="76">
        <f t="shared" si="13"/>
        <v>23.324999999999999</v>
      </c>
      <c r="I201" s="78">
        <v>23.84000000000006</v>
      </c>
      <c r="J201" s="203">
        <v>25.4</v>
      </c>
      <c r="K201" s="14">
        <v>17.100000000000001</v>
      </c>
      <c r="L201" s="78">
        <v>20.546527777777786</v>
      </c>
      <c r="M201" s="193">
        <v>96</v>
      </c>
      <c r="N201" s="31">
        <v>62</v>
      </c>
      <c r="O201" s="109">
        <v>82.676388888889093</v>
      </c>
      <c r="P201" s="117">
        <v>1012.91431664105</v>
      </c>
      <c r="Q201" s="21">
        <v>1009.67111578263</v>
      </c>
      <c r="R201" s="70">
        <v>1011.333366687222</v>
      </c>
      <c r="S201" s="71">
        <v>9.2000228665167221</v>
      </c>
      <c r="T201" s="61">
        <v>4.600011433258361</v>
      </c>
      <c r="U201" s="25">
        <v>1.5796934931030591</v>
      </c>
      <c r="V201" s="218" t="s">
        <v>240</v>
      </c>
      <c r="W201" s="221" t="s">
        <v>224</v>
      </c>
      <c r="X201" s="26">
        <v>0</v>
      </c>
      <c r="Y201" s="27">
        <v>0</v>
      </c>
      <c r="Z201" s="28">
        <v>0</v>
      </c>
      <c r="AA201" s="29">
        <v>0</v>
      </c>
      <c r="AB201" s="320" t="s">
        <v>436</v>
      </c>
    </row>
    <row r="202" spans="1:28" s="20" customFormat="1" x14ac:dyDescent="0.3">
      <c r="A202" s="429">
        <v>44396</v>
      </c>
      <c r="B202" s="40">
        <v>24</v>
      </c>
      <c r="C202" s="14">
        <v>22.8</v>
      </c>
      <c r="D202" s="14">
        <v>19.3</v>
      </c>
      <c r="E202" s="14">
        <v>24.8</v>
      </c>
      <c r="F202" s="14">
        <v>18.2</v>
      </c>
      <c r="G202" s="76">
        <f t="shared" si="12"/>
        <v>6.6000000000000014</v>
      </c>
      <c r="H202" s="76">
        <f t="shared" si="13"/>
        <v>21.35</v>
      </c>
      <c r="I202" s="78">
        <v>20.812916666666649</v>
      </c>
      <c r="J202" s="203">
        <v>21.7</v>
      </c>
      <c r="K202" s="14">
        <v>16.5</v>
      </c>
      <c r="L202" s="78">
        <v>18.524722222222191</v>
      </c>
      <c r="M202" s="193">
        <v>94.3</v>
      </c>
      <c r="N202" s="31">
        <v>76.599999999999994</v>
      </c>
      <c r="O202" s="109">
        <v>86.957916666666677</v>
      </c>
      <c r="P202" s="117">
        <v>1013.87934645889</v>
      </c>
      <c r="Q202" s="21">
        <v>1011.57222455166</v>
      </c>
      <c r="R202" s="70">
        <v>1012.752983348815</v>
      </c>
      <c r="S202" s="71">
        <v>8.5000211266730545</v>
      </c>
      <c r="T202" s="61">
        <v>6.0785865368056804</v>
      </c>
      <c r="U202" s="25">
        <v>1.502663705085848</v>
      </c>
      <c r="V202" s="218" t="s">
        <v>237</v>
      </c>
      <c r="W202" s="221" t="s">
        <v>213</v>
      </c>
      <c r="X202" s="26">
        <v>15.6</v>
      </c>
      <c r="Y202" s="27">
        <v>6</v>
      </c>
      <c r="Z202" s="28">
        <v>0</v>
      </c>
      <c r="AA202" s="29">
        <v>0</v>
      </c>
      <c r="AB202" s="320" t="s">
        <v>444</v>
      </c>
    </row>
    <row r="203" spans="1:28" s="20" customFormat="1" x14ac:dyDescent="0.3">
      <c r="A203" s="429">
        <v>44397</v>
      </c>
      <c r="B203" s="40">
        <v>19.2</v>
      </c>
      <c r="C203" s="14">
        <v>22.9</v>
      </c>
      <c r="D203" s="14">
        <v>17.5</v>
      </c>
      <c r="E203" s="14">
        <v>24.2</v>
      </c>
      <c r="F203" s="14">
        <v>16.3</v>
      </c>
      <c r="G203" s="76">
        <f t="shared" si="12"/>
        <v>7.8999999999999986</v>
      </c>
      <c r="H203" s="76">
        <f t="shared" si="13"/>
        <v>19.274999999999999</v>
      </c>
      <c r="I203" s="78">
        <v>19.561736111111166</v>
      </c>
      <c r="J203" s="203">
        <v>18.899999999999999</v>
      </c>
      <c r="K203" s="14">
        <v>13.1</v>
      </c>
      <c r="L203" s="78">
        <v>15.997847222222275</v>
      </c>
      <c r="M203" s="193">
        <v>92.6</v>
      </c>
      <c r="N203" s="31">
        <v>65</v>
      </c>
      <c r="O203" s="109">
        <v>80.299722222222343</v>
      </c>
      <c r="P203" s="117">
        <v>1015.90217166602</v>
      </c>
      <c r="Q203" s="21">
        <v>1012.69681106191</v>
      </c>
      <c r="R203" s="70">
        <v>1013.8825900840091</v>
      </c>
      <c r="S203" s="71">
        <v>6.8000169013384442</v>
      </c>
      <c r="T203" s="61">
        <v>4.5678684962247083</v>
      </c>
      <c r="U203" s="25">
        <v>1.5737948342621377</v>
      </c>
      <c r="V203" s="218" t="s">
        <v>240</v>
      </c>
      <c r="W203" s="221" t="s">
        <v>213</v>
      </c>
      <c r="X203" s="26">
        <v>6</v>
      </c>
      <c r="Y203" s="27">
        <v>4.9000000000000004</v>
      </c>
      <c r="Z203" s="28">
        <v>0</v>
      </c>
      <c r="AA203" s="29">
        <v>0</v>
      </c>
      <c r="AB203" s="320" t="s">
        <v>209</v>
      </c>
    </row>
    <row r="204" spans="1:28" s="20" customFormat="1" x14ac:dyDescent="0.3">
      <c r="A204" s="429">
        <v>44398</v>
      </c>
      <c r="B204" s="40">
        <v>15.8</v>
      </c>
      <c r="C204" s="14">
        <v>26.5</v>
      </c>
      <c r="D204" s="14">
        <v>16.600000000000001</v>
      </c>
      <c r="E204" s="14">
        <v>26.9</v>
      </c>
      <c r="F204" s="14">
        <v>13.4</v>
      </c>
      <c r="G204" s="76">
        <f t="shared" si="12"/>
        <v>13.499999999999998</v>
      </c>
      <c r="H204" s="76">
        <f t="shared" si="13"/>
        <v>18.875</v>
      </c>
      <c r="I204" s="78">
        <v>18.895763888888883</v>
      </c>
      <c r="J204" s="203">
        <v>21.2</v>
      </c>
      <c r="K204" s="14">
        <v>12.1</v>
      </c>
      <c r="L204" s="78">
        <v>15.34180555555554</v>
      </c>
      <c r="M204" s="193">
        <v>94.2</v>
      </c>
      <c r="N204" s="31">
        <v>57.8</v>
      </c>
      <c r="O204" s="109">
        <v>80.758055555555629</v>
      </c>
      <c r="P204" s="117">
        <v>1021.25606138937</v>
      </c>
      <c r="Q204" s="21">
        <v>1015.68698555432</v>
      </c>
      <c r="R204" s="70">
        <v>1018.1710637053543</v>
      </c>
      <c r="S204" s="71">
        <v>6.8000169013384442</v>
      </c>
      <c r="T204" s="61">
        <v>4.1035816279610691</v>
      </c>
      <c r="U204" s="25">
        <v>1.3980565502450863</v>
      </c>
      <c r="V204" s="218" t="s">
        <v>237</v>
      </c>
      <c r="W204" s="221" t="s">
        <v>213</v>
      </c>
      <c r="X204" s="26">
        <v>1.2</v>
      </c>
      <c r="Y204" s="27">
        <v>0.2</v>
      </c>
      <c r="Z204" s="28">
        <v>0</v>
      </c>
      <c r="AA204" s="29">
        <v>0</v>
      </c>
      <c r="AB204" s="320" t="s">
        <v>209</v>
      </c>
    </row>
    <row r="205" spans="1:28" s="20" customFormat="1" x14ac:dyDescent="0.3">
      <c r="A205" s="429">
        <v>44399</v>
      </c>
      <c r="B205" s="40">
        <v>15.8</v>
      </c>
      <c r="C205" s="14">
        <v>25.4</v>
      </c>
      <c r="D205" s="14">
        <v>18.5</v>
      </c>
      <c r="E205" s="14">
        <v>27.6</v>
      </c>
      <c r="F205" s="14">
        <v>10.8</v>
      </c>
      <c r="G205" s="76">
        <f t="shared" si="12"/>
        <v>16.8</v>
      </c>
      <c r="H205" s="76">
        <f t="shared" si="13"/>
        <v>19.55</v>
      </c>
      <c r="I205" s="78">
        <v>19.199236111111116</v>
      </c>
      <c r="J205" s="203">
        <v>20.3</v>
      </c>
      <c r="K205" s="14">
        <v>9.9</v>
      </c>
      <c r="L205" s="78">
        <v>14.528888888888881</v>
      </c>
      <c r="M205" s="193">
        <v>96.8</v>
      </c>
      <c r="N205" s="31">
        <v>46.7</v>
      </c>
      <c r="O205" s="109">
        <v>76.358680555555367</v>
      </c>
      <c r="P205" s="117">
        <v>1021.52328344176</v>
      </c>
      <c r="Q205" s="21">
        <v>1017.78782342811</v>
      </c>
      <c r="R205" s="70">
        <v>1019.7513850154228</v>
      </c>
      <c r="S205" s="71">
        <v>6.8000169013384442</v>
      </c>
      <c r="T205" s="61">
        <v>4.0928673156165143</v>
      </c>
      <c r="U205" s="25">
        <v>1.3293125797798215</v>
      </c>
      <c r="V205" s="218" t="s">
        <v>240</v>
      </c>
      <c r="W205" s="221"/>
      <c r="X205" s="26">
        <v>0</v>
      </c>
      <c r="Y205" s="27">
        <v>0</v>
      </c>
      <c r="Z205" s="28">
        <v>0</v>
      </c>
      <c r="AA205" s="29">
        <v>0</v>
      </c>
      <c r="AB205" s="320" t="s">
        <v>353</v>
      </c>
    </row>
    <row r="206" spans="1:28" s="20" customFormat="1" x14ac:dyDescent="0.3">
      <c r="A206" s="429">
        <v>44400</v>
      </c>
      <c r="B206" s="40">
        <v>16.600000000000001</v>
      </c>
      <c r="C206" s="14">
        <v>27.4</v>
      </c>
      <c r="D206" s="14">
        <v>18.2</v>
      </c>
      <c r="E206" s="14">
        <v>28.9</v>
      </c>
      <c r="F206" s="14">
        <v>14.6</v>
      </c>
      <c r="G206" s="76">
        <f t="shared" si="12"/>
        <v>14.299999999999999</v>
      </c>
      <c r="H206" s="76">
        <f t="shared" si="13"/>
        <v>20.100000000000001</v>
      </c>
      <c r="I206" s="78">
        <v>20.414097222222242</v>
      </c>
      <c r="J206" s="203">
        <v>20.3</v>
      </c>
      <c r="K206" s="14">
        <v>13.1</v>
      </c>
      <c r="L206" s="78">
        <v>15.439444444444456</v>
      </c>
      <c r="M206" s="193">
        <v>93.3</v>
      </c>
      <c r="N206" s="31">
        <v>40</v>
      </c>
      <c r="O206" s="109">
        <v>75.554791666666844</v>
      </c>
      <c r="P206" s="117">
        <v>1019.2826597957099</v>
      </c>
      <c r="Q206" s="21">
        <v>1014.58121839251</v>
      </c>
      <c r="R206" s="70">
        <v>1016.7581431489307</v>
      </c>
      <c r="S206" s="71">
        <v>6.1000151614947775</v>
      </c>
      <c r="T206" s="61">
        <v>3.5607231358374163</v>
      </c>
      <c r="U206" s="25">
        <v>0.78026607624421063</v>
      </c>
      <c r="V206" s="218" t="s">
        <v>243</v>
      </c>
      <c r="W206" s="221" t="s">
        <v>224</v>
      </c>
      <c r="X206" s="26">
        <v>0</v>
      </c>
      <c r="Y206" s="27">
        <v>0</v>
      </c>
      <c r="Z206" s="28">
        <v>0</v>
      </c>
      <c r="AA206" s="29">
        <v>0</v>
      </c>
      <c r="AB206" s="320" t="s">
        <v>211</v>
      </c>
    </row>
    <row r="207" spans="1:28" s="20" customFormat="1" x14ac:dyDescent="0.3">
      <c r="A207" s="429">
        <v>44401</v>
      </c>
      <c r="B207" s="40">
        <v>17.2</v>
      </c>
      <c r="C207" s="14">
        <v>28.3</v>
      </c>
      <c r="D207" s="14">
        <v>19.2</v>
      </c>
      <c r="E207" s="14">
        <v>28.6</v>
      </c>
      <c r="F207" s="14">
        <v>15.2</v>
      </c>
      <c r="G207" s="76">
        <f t="shared" si="12"/>
        <v>13.400000000000002</v>
      </c>
      <c r="H207" s="76">
        <f t="shared" si="13"/>
        <v>20.975000000000001</v>
      </c>
      <c r="I207" s="78">
        <v>21.227291666666638</v>
      </c>
      <c r="J207" s="203">
        <v>20.8</v>
      </c>
      <c r="K207" s="14">
        <v>14</v>
      </c>
      <c r="L207" s="78">
        <v>16.356874999999985</v>
      </c>
      <c r="M207" s="193">
        <v>94.3</v>
      </c>
      <c r="N207" s="31">
        <v>50.7</v>
      </c>
      <c r="O207" s="109">
        <v>75.954791666666637</v>
      </c>
      <c r="P207" s="117">
        <v>1016.66207665408</v>
      </c>
      <c r="Q207" s="21">
        <v>1013.45326854624</v>
      </c>
      <c r="R207" s="70">
        <v>1015.1962919498377</v>
      </c>
      <c r="S207" s="71">
        <v>6.8000169013384442</v>
      </c>
      <c r="T207" s="61">
        <v>4.4857254349165414</v>
      </c>
      <c r="U207" s="25">
        <v>1.4746998458995608</v>
      </c>
      <c r="V207" s="218" t="s">
        <v>242</v>
      </c>
      <c r="W207" s="221"/>
      <c r="X207" s="26">
        <v>0</v>
      </c>
      <c r="Y207" s="27">
        <v>0</v>
      </c>
      <c r="Z207" s="28">
        <v>0</v>
      </c>
      <c r="AA207" s="29">
        <v>0</v>
      </c>
      <c r="AB207" s="320" t="s">
        <v>445</v>
      </c>
    </row>
    <row r="208" spans="1:28" s="20" customFormat="1" x14ac:dyDescent="0.3">
      <c r="A208" s="429">
        <v>44402</v>
      </c>
      <c r="B208" s="40">
        <v>18.899999999999999</v>
      </c>
      <c r="C208" s="14">
        <v>24.9</v>
      </c>
      <c r="D208" s="14">
        <v>19</v>
      </c>
      <c r="E208" s="14">
        <v>28.6</v>
      </c>
      <c r="F208" s="14">
        <v>12.9</v>
      </c>
      <c r="G208" s="76">
        <f t="shared" si="12"/>
        <v>15.700000000000001</v>
      </c>
      <c r="H208" s="76">
        <f t="shared" si="13"/>
        <v>20.45</v>
      </c>
      <c r="I208" s="78">
        <v>20.982861189801739</v>
      </c>
      <c r="J208" s="203">
        <v>20.399999999999999</v>
      </c>
      <c r="K208" s="14">
        <v>11.9</v>
      </c>
      <c r="L208" s="78">
        <v>15.761473087818741</v>
      </c>
      <c r="M208" s="193">
        <v>95.5</v>
      </c>
      <c r="N208" s="31">
        <v>49.1</v>
      </c>
      <c r="O208" s="109">
        <v>74.206161473087647</v>
      </c>
      <c r="P208" s="117">
        <v>1016.44291180496</v>
      </c>
      <c r="Q208" s="21">
        <v>1013.10222680038</v>
      </c>
      <c r="R208" s="70">
        <v>1014.85472688891</v>
      </c>
      <c r="S208" s="71">
        <v>8.5000211266730545</v>
      </c>
      <c r="T208" s="61">
        <v>5.8812646177936392</v>
      </c>
      <c r="U208" s="25">
        <v>1.5778602378851547</v>
      </c>
      <c r="V208" s="218" t="s">
        <v>242</v>
      </c>
      <c r="W208" s="221" t="s">
        <v>213</v>
      </c>
      <c r="X208" s="26"/>
      <c r="Y208" s="27">
        <v>2.6</v>
      </c>
      <c r="Z208" s="28">
        <v>0</v>
      </c>
      <c r="AA208" s="29">
        <v>0</v>
      </c>
      <c r="AB208" s="320" t="s">
        <v>211</v>
      </c>
    </row>
    <row r="209" spans="1:28" s="20" customFormat="1" x14ac:dyDescent="0.3">
      <c r="A209" s="429">
        <v>44403</v>
      </c>
      <c r="B209" s="40">
        <v>21.2</v>
      </c>
      <c r="C209" s="14">
        <v>30.2</v>
      </c>
      <c r="D209" s="14">
        <v>25.4</v>
      </c>
      <c r="E209" s="14">
        <v>30.6</v>
      </c>
      <c r="F209" s="14">
        <v>16.600000000000001</v>
      </c>
      <c r="G209" s="76">
        <f t="shared" si="12"/>
        <v>14</v>
      </c>
      <c r="H209" s="76">
        <f t="shared" si="13"/>
        <v>25.549999999999997</v>
      </c>
      <c r="I209" s="78">
        <v>24.352361111111136</v>
      </c>
      <c r="J209" s="203">
        <v>22.8</v>
      </c>
      <c r="K209" s="14">
        <v>14.8</v>
      </c>
      <c r="L209" s="78">
        <v>18.827430555555569</v>
      </c>
      <c r="M209" s="193">
        <v>93.4</v>
      </c>
      <c r="N209" s="31">
        <v>54.8</v>
      </c>
      <c r="O209" s="109">
        <v>72.46805555555558</v>
      </c>
      <c r="P209" s="117">
        <v>1015.49328984028</v>
      </c>
      <c r="Q209" s="21">
        <v>1012.24903946361</v>
      </c>
      <c r="R209" s="70">
        <v>1013.3118992881379</v>
      </c>
      <c r="S209" s="71">
        <v>10.500026097654944</v>
      </c>
      <c r="T209" s="61">
        <v>6.8571599005093473</v>
      </c>
      <c r="U209" s="25">
        <v>2.7477932879316986</v>
      </c>
      <c r="V209" s="218" t="s">
        <v>232</v>
      </c>
      <c r="W209" s="221" t="s">
        <v>224</v>
      </c>
      <c r="X209" s="26">
        <v>0</v>
      </c>
      <c r="Y209" s="27">
        <v>0</v>
      </c>
      <c r="Z209" s="28">
        <v>0</v>
      </c>
      <c r="AA209" s="29">
        <v>0</v>
      </c>
      <c r="AB209" s="320" t="s">
        <v>452</v>
      </c>
    </row>
    <row r="210" spans="1:28" s="20" customFormat="1" x14ac:dyDescent="0.3">
      <c r="A210" s="429">
        <v>44404</v>
      </c>
      <c r="B210" s="40">
        <v>24.2</v>
      </c>
      <c r="C210" s="14">
        <v>32.200000000000003</v>
      </c>
      <c r="D210" s="14">
        <v>18.3</v>
      </c>
      <c r="E210" s="14">
        <v>32.9</v>
      </c>
      <c r="F210" s="14">
        <v>16.600000000000001</v>
      </c>
      <c r="G210" s="76">
        <f t="shared" si="12"/>
        <v>16.299999999999997</v>
      </c>
      <c r="H210" s="76">
        <f t="shared" si="13"/>
        <v>23.25</v>
      </c>
      <c r="I210" s="78">
        <v>23.665902777777763</v>
      </c>
      <c r="J210" s="203">
        <v>23.6</v>
      </c>
      <c r="K210" s="14">
        <v>15.4</v>
      </c>
      <c r="L210" s="78">
        <v>19.121388888888863</v>
      </c>
      <c r="M210" s="193">
        <v>94.8</v>
      </c>
      <c r="N210" s="31">
        <v>44.8</v>
      </c>
      <c r="O210" s="109">
        <v>77.415486111111036</v>
      </c>
      <c r="P210" s="117">
        <v>1016.53285521686</v>
      </c>
      <c r="Q210" s="21">
        <v>1012.48925073258</v>
      </c>
      <c r="R210" s="70">
        <v>1014.1144845125039</v>
      </c>
      <c r="S210" s="71">
        <v>10.900027091851305</v>
      </c>
      <c r="T210" s="61">
        <v>7.3794826273059586</v>
      </c>
      <c r="U210" s="25">
        <v>2.4847283979768102</v>
      </c>
      <c r="V210" s="218" t="s">
        <v>231</v>
      </c>
      <c r="W210" s="221"/>
      <c r="X210" s="26">
        <v>0</v>
      </c>
      <c r="Y210" s="27">
        <v>0</v>
      </c>
      <c r="Z210" s="28">
        <v>0</v>
      </c>
      <c r="AA210" s="29">
        <v>0</v>
      </c>
      <c r="AB210" s="320" t="s">
        <v>453</v>
      </c>
    </row>
    <row r="211" spans="1:28" s="20" customFormat="1" x14ac:dyDescent="0.3">
      <c r="A211" s="429">
        <v>44405</v>
      </c>
      <c r="B211" s="40">
        <v>18.100000000000001</v>
      </c>
      <c r="C211" s="14">
        <v>33.1</v>
      </c>
      <c r="D211" s="14">
        <v>20.8</v>
      </c>
      <c r="E211" s="14">
        <v>34</v>
      </c>
      <c r="F211" s="14">
        <v>15.6</v>
      </c>
      <c r="G211" s="76">
        <f t="shared" si="12"/>
        <v>18.399999999999999</v>
      </c>
      <c r="H211" s="76">
        <f t="shared" si="13"/>
        <v>23.200000000000003</v>
      </c>
      <c r="I211" s="78">
        <v>24.273541666666723</v>
      </c>
      <c r="J211" s="203">
        <v>23.2</v>
      </c>
      <c r="K211" s="14">
        <v>14.6</v>
      </c>
      <c r="L211" s="78">
        <v>18.474791666666675</v>
      </c>
      <c r="M211" s="193">
        <v>95.8</v>
      </c>
      <c r="N211" s="31">
        <v>42.2</v>
      </c>
      <c r="O211" s="109">
        <v>73.386111111111219</v>
      </c>
      <c r="P211" s="117">
        <v>1016.55657539751</v>
      </c>
      <c r="Q211" s="21">
        <v>1008.59820282944</v>
      </c>
      <c r="R211" s="70">
        <v>1012.2521977202027</v>
      </c>
      <c r="S211" s="71">
        <v>11.900029577342277</v>
      </c>
      <c r="T211" s="61">
        <v>7.6143046395239162</v>
      </c>
      <c r="U211" s="25">
        <v>1.8384904326352074</v>
      </c>
      <c r="V211" s="218" t="s">
        <v>242</v>
      </c>
      <c r="W211" s="221"/>
      <c r="X211" s="26">
        <v>0</v>
      </c>
      <c r="Y211" s="27">
        <v>0</v>
      </c>
      <c r="Z211" s="28">
        <v>0</v>
      </c>
      <c r="AA211" s="29">
        <v>0</v>
      </c>
      <c r="AB211" s="320" t="s">
        <v>462</v>
      </c>
    </row>
    <row r="212" spans="1:28" s="20" customFormat="1" x14ac:dyDescent="0.3">
      <c r="A212" s="429">
        <v>44406</v>
      </c>
      <c r="B212" s="40">
        <v>21.7</v>
      </c>
      <c r="C212" s="14">
        <v>30.6</v>
      </c>
      <c r="D212" s="14">
        <v>20.2</v>
      </c>
      <c r="E212" s="14">
        <v>31</v>
      </c>
      <c r="F212" s="14">
        <v>17.899999999999999</v>
      </c>
      <c r="G212" s="76">
        <f t="shared" si="12"/>
        <v>13.100000000000001</v>
      </c>
      <c r="H212" s="76">
        <f t="shared" si="13"/>
        <v>23.174999999999997</v>
      </c>
      <c r="I212" s="78">
        <v>23.463888888888832</v>
      </c>
      <c r="J212" s="203">
        <v>22</v>
      </c>
      <c r="K212" s="14">
        <v>16.399999999999999</v>
      </c>
      <c r="L212" s="78">
        <v>19.00243055555552</v>
      </c>
      <c r="M212" s="193">
        <v>93</v>
      </c>
      <c r="N212" s="31">
        <v>53.1</v>
      </c>
      <c r="O212" s="109">
        <v>77.442569444444388</v>
      </c>
      <c r="P212" s="117">
        <v>1013.46402522328</v>
      </c>
      <c r="Q212" s="21">
        <v>1010.4734615792599</v>
      </c>
      <c r="R212" s="70">
        <v>1012.1254880165629</v>
      </c>
      <c r="S212" s="71">
        <v>6.1000151614947775</v>
      </c>
      <c r="T212" s="61">
        <v>4.164296064580153</v>
      </c>
      <c r="U212" s="25">
        <v>1.2672526537054261</v>
      </c>
      <c r="V212" s="218" t="s">
        <v>240</v>
      </c>
      <c r="W212" s="221"/>
      <c r="X212" s="26">
        <v>0</v>
      </c>
      <c r="Y212" s="27">
        <v>0</v>
      </c>
      <c r="Z212" s="28">
        <v>0</v>
      </c>
      <c r="AA212" s="29">
        <v>0</v>
      </c>
      <c r="AB212" s="320" t="s">
        <v>211</v>
      </c>
    </row>
    <row r="213" spans="1:28" s="20" customFormat="1" x14ac:dyDescent="0.3">
      <c r="A213" s="429">
        <v>44407</v>
      </c>
      <c r="B213" s="40">
        <v>19.5</v>
      </c>
      <c r="C213" s="14">
        <v>32.5</v>
      </c>
      <c r="D213" s="14">
        <v>20.100000000000001</v>
      </c>
      <c r="E213" s="14">
        <v>32.5</v>
      </c>
      <c r="F213" s="14">
        <v>14.2</v>
      </c>
      <c r="G213" s="76">
        <f t="shared" si="12"/>
        <v>18.3</v>
      </c>
      <c r="H213" s="76">
        <f t="shared" si="13"/>
        <v>23.05</v>
      </c>
      <c r="I213" s="78">
        <v>23.275624999999991</v>
      </c>
      <c r="J213" s="203">
        <v>20.7</v>
      </c>
      <c r="K213" s="14">
        <v>13.2</v>
      </c>
      <c r="L213" s="78">
        <v>17.337777777777742</v>
      </c>
      <c r="M213" s="193">
        <v>96.6</v>
      </c>
      <c r="N213" s="31">
        <v>43.3</v>
      </c>
      <c r="O213" s="109">
        <v>72.599861111111153</v>
      </c>
      <c r="P213" s="117">
        <v>1013.68081196047</v>
      </c>
      <c r="Q213" s="21">
        <v>1007.82507795387</v>
      </c>
      <c r="R213" s="70">
        <v>1010.8602289588891</v>
      </c>
      <c r="S213" s="71">
        <v>6.8000169013384442</v>
      </c>
      <c r="T213" s="61">
        <v>4.4142966859529036</v>
      </c>
      <c r="U213" s="25">
        <v>1.1437094398946162</v>
      </c>
      <c r="V213" s="218" t="s">
        <v>233</v>
      </c>
      <c r="W213" s="221" t="s">
        <v>213</v>
      </c>
      <c r="X213" s="26">
        <v>12</v>
      </c>
      <c r="Y213" s="27">
        <v>1.9</v>
      </c>
      <c r="Z213" s="28">
        <v>0</v>
      </c>
      <c r="AA213" s="29">
        <v>0</v>
      </c>
      <c r="AB213" s="320" t="s">
        <v>512</v>
      </c>
    </row>
    <row r="214" spans="1:28" s="315" customFormat="1" ht="29.4" thickBot="1" x14ac:dyDescent="0.35">
      <c r="A214" s="430">
        <v>44408</v>
      </c>
      <c r="B214" s="41">
        <v>19.8</v>
      </c>
      <c r="C214" s="22">
        <v>21.5</v>
      </c>
      <c r="D214" s="22">
        <v>17.5</v>
      </c>
      <c r="E214" s="22">
        <v>25.9</v>
      </c>
      <c r="F214" s="22">
        <v>15.7</v>
      </c>
      <c r="G214" s="22">
        <f>E214-F214</f>
        <v>10.199999999999999</v>
      </c>
      <c r="H214" s="22">
        <f>(B214+C214+2*D214)/4</f>
        <v>19.074999999999999</v>
      </c>
      <c r="I214" s="79">
        <v>20.065208333333331</v>
      </c>
      <c r="J214" s="204">
        <v>22.2</v>
      </c>
      <c r="K214" s="22">
        <v>14.7</v>
      </c>
      <c r="L214" s="79">
        <v>18.013541666666647</v>
      </c>
      <c r="M214" s="194">
        <v>95.2</v>
      </c>
      <c r="N214" s="191">
        <v>73.099999999999994</v>
      </c>
      <c r="O214" s="192">
        <v>88.322083333333268</v>
      </c>
      <c r="P214" s="118">
        <v>1011.53618768406</v>
      </c>
      <c r="Q214" s="68">
        <v>1008.23133421085</v>
      </c>
      <c r="R214" s="190">
        <v>1009.676582951571</v>
      </c>
      <c r="S214" s="73">
        <v>5.4000134216511109</v>
      </c>
      <c r="T214" s="63">
        <v>3.1571507041928473</v>
      </c>
      <c r="U214" s="42">
        <v>0.84437213835662983</v>
      </c>
      <c r="V214" s="222" t="s">
        <v>240</v>
      </c>
      <c r="W214" s="223" t="s">
        <v>213</v>
      </c>
      <c r="X214" s="44">
        <v>4.8</v>
      </c>
      <c r="Y214" s="45">
        <v>1</v>
      </c>
      <c r="Z214" s="46">
        <v>0</v>
      </c>
      <c r="AA214" s="47">
        <v>0</v>
      </c>
      <c r="AB214" s="321" t="s">
        <v>463</v>
      </c>
    </row>
    <row r="215" spans="1:28" s="34" customFormat="1" x14ac:dyDescent="0.3">
      <c r="A215" s="39">
        <v>44409</v>
      </c>
      <c r="B215" s="75">
        <v>18.3</v>
      </c>
      <c r="C215" s="30">
        <v>26</v>
      </c>
      <c r="D215" s="30">
        <v>18.899999999999999</v>
      </c>
      <c r="E215" s="30">
        <v>26.3</v>
      </c>
      <c r="F215" s="30">
        <v>15.8</v>
      </c>
      <c r="G215" s="76">
        <f>E215-F215</f>
        <v>10.5</v>
      </c>
      <c r="H215" s="76">
        <f>(B215+C215+2*D215)/4</f>
        <v>20.524999999999999</v>
      </c>
      <c r="I215" s="83">
        <v>19.918588873812784</v>
      </c>
      <c r="J215" s="30">
        <v>22.4</v>
      </c>
      <c r="K215" s="30">
        <v>14.9</v>
      </c>
      <c r="L215" s="83">
        <v>18.102442333785618</v>
      </c>
      <c r="M215" s="114">
        <v>97.1</v>
      </c>
      <c r="N215" s="31">
        <v>68.400000000000006</v>
      </c>
      <c r="O215" s="109">
        <v>89.801356852103154</v>
      </c>
      <c r="P215" s="119">
        <v>1011.67189321347</v>
      </c>
      <c r="Q215" s="32">
        <v>1003.08539515388</v>
      </c>
      <c r="R215" s="70">
        <v>1008.0343141064479</v>
      </c>
      <c r="S215" s="111">
        <v>7.8000193868293888</v>
      </c>
      <c r="T215" s="110">
        <v>3.9285811930001526</v>
      </c>
      <c r="U215" s="33">
        <v>1.1673330105154021</v>
      </c>
      <c r="V215" s="216" t="s">
        <v>233</v>
      </c>
      <c r="W215" s="224" t="s">
        <v>265</v>
      </c>
      <c r="X215" s="105">
        <v>46.8</v>
      </c>
      <c r="Y215" s="106">
        <v>22</v>
      </c>
      <c r="Z215" s="107">
        <v>0</v>
      </c>
      <c r="AA215" s="112">
        <v>0</v>
      </c>
      <c r="AB215" s="318" t="s">
        <v>467</v>
      </c>
    </row>
    <row r="216" spans="1:28" s="20" customFormat="1" x14ac:dyDescent="0.3">
      <c r="A216" s="39">
        <v>44410</v>
      </c>
      <c r="B216" s="40">
        <v>16.5</v>
      </c>
      <c r="C216" s="14">
        <v>25.2</v>
      </c>
      <c r="D216" s="14">
        <v>16.399999999999999</v>
      </c>
      <c r="E216" s="14">
        <v>25.8</v>
      </c>
      <c r="F216" s="14">
        <v>13.6</v>
      </c>
      <c r="G216" s="76">
        <f>E216-F216</f>
        <v>12.200000000000001</v>
      </c>
      <c r="H216" s="76">
        <f>(B216+C216+2*D216)/4</f>
        <v>18.625</v>
      </c>
      <c r="I216" s="78">
        <v>18.786736111111153</v>
      </c>
      <c r="J216" s="30">
        <v>19.8</v>
      </c>
      <c r="K216" s="30">
        <v>12.6</v>
      </c>
      <c r="L216" s="83">
        <v>15.637430555555552</v>
      </c>
      <c r="M216" s="114">
        <v>97.2</v>
      </c>
      <c r="N216" s="31">
        <v>53.4</v>
      </c>
      <c r="O216" s="109">
        <v>83.549374999999998</v>
      </c>
      <c r="P216" s="117">
        <v>1015.95926493149</v>
      </c>
      <c r="Q216" s="21">
        <v>1005.36107565906</v>
      </c>
      <c r="R216" s="70">
        <v>1011.0594518211302</v>
      </c>
      <c r="S216" s="71">
        <v>5.1000126760038338</v>
      </c>
      <c r="T216" s="61">
        <v>2.6928638359291917</v>
      </c>
      <c r="U216" s="25">
        <v>1.0185665197268094</v>
      </c>
      <c r="V216" s="218" t="s">
        <v>268</v>
      </c>
      <c r="W216" s="219" t="s">
        <v>265</v>
      </c>
      <c r="X216" s="16">
        <v>2.4</v>
      </c>
      <c r="Y216" s="17">
        <v>1.9</v>
      </c>
      <c r="Z216" s="18">
        <v>0</v>
      </c>
      <c r="AA216" s="43">
        <v>0</v>
      </c>
      <c r="AB216" s="319" t="s">
        <v>472</v>
      </c>
    </row>
    <row r="217" spans="1:28" s="20" customFormat="1" x14ac:dyDescent="0.3">
      <c r="A217" s="39">
        <v>44411</v>
      </c>
      <c r="B217" s="40">
        <v>13.8</v>
      </c>
      <c r="C217" s="14">
        <v>25.8</v>
      </c>
      <c r="D217" s="14">
        <v>14.2</v>
      </c>
      <c r="E217" s="14">
        <v>27.2</v>
      </c>
      <c r="F217" s="14">
        <v>13.1</v>
      </c>
      <c r="G217" s="76">
        <f t="shared" ref="G217:G244" si="14">E217-F217</f>
        <v>14.1</v>
      </c>
      <c r="H217" s="76">
        <f t="shared" ref="H217:H244" si="15">(B217+C217+2*D217)/4</f>
        <v>17</v>
      </c>
      <c r="I217" s="78">
        <v>17.788263888888913</v>
      </c>
      <c r="J217" s="30">
        <v>18.899999999999999</v>
      </c>
      <c r="K217" s="30">
        <v>12.3</v>
      </c>
      <c r="L217" s="83">
        <v>14.438125000000037</v>
      </c>
      <c r="M217" s="114">
        <v>96</v>
      </c>
      <c r="N217" s="31">
        <v>49.9</v>
      </c>
      <c r="O217" s="109">
        <v>82.881597222222268</v>
      </c>
      <c r="P217" s="117">
        <v>1017.46666309973</v>
      </c>
      <c r="Q217" s="21">
        <v>1013.44443785728</v>
      </c>
      <c r="R217" s="70">
        <v>1015.8225352669821</v>
      </c>
      <c r="S217" s="71">
        <v>7.5000186411821108</v>
      </c>
      <c r="T217" s="61">
        <v>3.8071523197619719</v>
      </c>
      <c r="U217" s="25">
        <v>1.2371647290894301</v>
      </c>
      <c r="V217" s="218" t="s">
        <v>304</v>
      </c>
      <c r="W217" s="219" t="s">
        <v>213</v>
      </c>
      <c r="X217" s="16">
        <v>33.6</v>
      </c>
      <c r="Y217" s="17">
        <v>7.4</v>
      </c>
      <c r="Z217" s="18">
        <v>0</v>
      </c>
      <c r="AA217" s="43">
        <v>0</v>
      </c>
      <c r="AB217" s="319" t="s">
        <v>305</v>
      </c>
    </row>
    <row r="218" spans="1:28" s="20" customFormat="1" ht="28.8" x14ac:dyDescent="0.3">
      <c r="A218" s="39">
        <v>44412</v>
      </c>
      <c r="B218" s="40">
        <v>14.4</v>
      </c>
      <c r="C218" s="14">
        <v>24.3</v>
      </c>
      <c r="D218" s="14">
        <v>17.399999999999999</v>
      </c>
      <c r="E218" s="14">
        <v>24.9</v>
      </c>
      <c r="F218" s="14">
        <v>13.7</v>
      </c>
      <c r="G218" s="76">
        <f t="shared" si="14"/>
        <v>11.2</v>
      </c>
      <c r="H218" s="76">
        <f t="shared" si="15"/>
        <v>18.375</v>
      </c>
      <c r="I218" s="78">
        <v>17.817430555555553</v>
      </c>
      <c r="J218" s="30">
        <v>20.7</v>
      </c>
      <c r="K218" s="30">
        <v>13</v>
      </c>
      <c r="L218" s="83">
        <v>16.315069444444379</v>
      </c>
      <c r="M218" s="114">
        <v>97.4</v>
      </c>
      <c r="N218" s="31">
        <v>71</v>
      </c>
      <c r="O218" s="109">
        <v>91.340000000000046</v>
      </c>
      <c r="P218" s="117">
        <v>1016.05207923427</v>
      </c>
      <c r="Q218" s="21">
        <v>1012.39896738798</v>
      </c>
      <c r="R218" s="70">
        <v>1013.9820359094725</v>
      </c>
      <c r="S218" s="72">
        <v>7.8000193868293888</v>
      </c>
      <c r="T218" s="62">
        <v>4.6500115575329026</v>
      </c>
      <c r="U218" s="19">
        <v>0.8651063168752412</v>
      </c>
      <c r="V218" s="218" t="s">
        <v>268</v>
      </c>
      <c r="W218" s="220" t="s">
        <v>323</v>
      </c>
      <c r="X218" s="16">
        <v>58.8</v>
      </c>
      <c r="Y218" s="17">
        <v>15.7</v>
      </c>
      <c r="Z218" s="18">
        <v>0</v>
      </c>
      <c r="AA218" s="43">
        <v>0</v>
      </c>
      <c r="AB218" s="319" t="s">
        <v>480</v>
      </c>
    </row>
    <row r="219" spans="1:28" s="20" customFormat="1" x14ac:dyDescent="0.3">
      <c r="A219" s="39">
        <v>44413</v>
      </c>
      <c r="B219" s="40">
        <v>17.399999999999999</v>
      </c>
      <c r="C219" s="14">
        <v>20.7</v>
      </c>
      <c r="D219" s="14">
        <v>18.600000000000001</v>
      </c>
      <c r="E219" s="14">
        <v>23.6</v>
      </c>
      <c r="F219" s="14">
        <v>16.8</v>
      </c>
      <c r="G219" s="76">
        <f t="shared" si="14"/>
        <v>6.8000000000000007</v>
      </c>
      <c r="H219" s="76">
        <f t="shared" si="15"/>
        <v>18.824999999999999</v>
      </c>
      <c r="I219" s="78">
        <v>19.245624999999919</v>
      </c>
      <c r="J219" s="30">
        <v>21.4</v>
      </c>
      <c r="K219" s="30">
        <v>15.2</v>
      </c>
      <c r="L219" s="83">
        <v>17.904861111111188</v>
      </c>
      <c r="M219" s="114">
        <v>97.2</v>
      </c>
      <c r="N219" s="31">
        <v>82.3</v>
      </c>
      <c r="O219" s="109">
        <v>92.032430555555479</v>
      </c>
      <c r="P219" s="117">
        <v>1012.38206355155</v>
      </c>
      <c r="Q219" s="21">
        <v>998.45746541707297</v>
      </c>
      <c r="R219" s="70">
        <v>1004.9671364706397</v>
      </c>
      <c r="S219" s="71">
        <v>9.9000246063603612</v>
      </c>
      <c r="T219" s="61">
        <v>6.7643025268566248</v>
      </c>
      <c r="U219" s="25">
        <v>1.6169579706439849</v>
      </c>
      <c r="V219" s="218" t="s">
        <v>237</v>
      </c>
      <c r="W219" s="220" t="s">
        <v>213</v>
      </c>
      <c r="X219" s="16">
        <v>36</v>
      </c>
      <c r="Y219" s="17">
        <v>12.9</v>
      </c>
      <c r="Z219" s="18">
        <v>0</v>
      </c>
      <c r="AA219" s="43">
        <v>0</v>
      </c>
      <c r="AB219" s="319" t="s">
        <v>483</v>
      </c>
    </row>
    <row r="220" spans="1:28" s="20" customFormat="1" x14ac:dyDescent="0.3">
      <c r="A220" s="39">
        <v>44414</v>
      </c>
      <c r="B220" s="40">
        <v>17</v>
      </c>
      <c r="C220" s="14">
        <v>22.2</v>
      </c>
      <c r="D220" s="14">
        <v>12.4</v>
      </c>
      <c r="E220" s="14">
        <v>22.5</v>
      </c>
      <c r="F220" s="14">
        <v>9.8000000000000007</v>
      </c>
      <c r="G220" s="76">
        <f t="shared" si="14"/>
        <v>12.7</v>
      </c>
      <c r="H220" s="76">
        <f t="shared" si="15"/>
        <v>16</v>
      </c>
      <c r="I220" s="78">
        <v>17.27124999999997</v>
      </c>
      <c r="J220" s="30">
        <v>17.600000000000001</v>
      </c>
      <c r="K220" s="30">
        <v>8.9</v>
      </c>
      <c r="L220" s="83">
        <v>14.445694444444468</v>
      </c>
      <c r="M220" s="114">
        <v>95.2</v>
      </c>
      <c r="N220" s="31">
        <v>65.8</v>
      </c>
      <c r="O220" s="109">
        <v>84.102361111111264</v>
      </c>
      <c r="P220" s="117">
        <v>1009.31816750749</v>
      </c>
      <c r="Q220" s="21">
        <v>998.33312887145598</v>
      </c>
      <c r="R220" s="70">
        <v>1003.3580686689079</v>
      </c>
      <c r="S220" s="71">
        <v>6.5000161556911662</v>
      </c>
      <c r="T220" s="61">
        <v>3.4723300589949169</v>
      </c>
      <c r="U220" s="25">
        <v>1.0755173061183902</v>
      </c>
      <c r="V220" s="218" t="s">
        <v>234</v>
      </c>
      <c r="W220" s="220" t="s">
        <v>262</v>
      </c>
      <c r="X220" s="16">
        <v>1.2</v>
      </c>
      <c r="Y220" s="17">
        <v>0.1</v>
      </c>
      <c r="Z220" s="18">
        <v>0</v>
      </c>
      <c r="AA220" s="43">
        <v>0</v>
      </c>
      <c r="AB220" s="319" t="s">
        <v>211</v>
      </c>
    </row>
    <row r="221" spans="1:28" s="20" customFormat="1" x14ac:dyDescent="0.3">
      <c r="A221" s="39">
        <v>44415</v>
      </c>
      <c r="B221" s="40">
        <v>13.1</v>
      </c>
      <c r="C221" s="14">
        <v>25.1</v>
      </c>
      <c r="D221" s="14">
        <v>17.600000000000001</v>
      </c>
      <c r="E221" s="14">
        <v>26.1</v>
      </c>
      <c r="F221" s="14">
        <v>9.1</v>
      </c>
      <c r="G221" s="76">
        <f t="shared" si="14"/>
        <v>17</v>
      </c>
      <c r="H221" s="76">
        <f t="shared" si="15"/>
        <v>18.350000000000001</v>
      </c>
      <c r="I221" s="78">
        <v>18.19298611111105</v>
      </c>
      <c r="J221" s="30">
        <v>20.100000000000001</v>
      </c>
      <c r="K221" s="30">
        <v>8.3000000000000007</v>
      </c>
      <c r="L221" s="83">
        <v>15.049513888888866</v>
      </c>
      <c r="M221" s="114">
        <v>97.3</v>
      </c>
      <c r="N221" s="31">
        <v>63.3</v>
      </c>
      <c r="O221" s="109">
        <v>83.231388888888944</v>
      </c>
      <c r="P221" s="117">
        <v>1011.5865779120001</v>
      </c>
      <c r="Q221" s="21">
        <v>1009.19962003803</v>
      </c>
      <c r="R221" s="70">
        <v>1010.4251025294785</v>
      </c>
      <c r="S221" s="71">
        <v>7.5000186411821108</v>
      </c>
      <c r="T221" s="61">
        <v>5.1928700496565554</v>
      </c>
      <c r="U221" s="25">
        <v>1.6012254579960896</v>
      </c>
      <c r="V221" s="218" t="s">
        <v>242</v>
      </c>
      <c r="W221" s="220"/>
      <c r="X221" s="16">
        <v>0</v>
      </c>
      <c r="Y221" s="17">
        <v>0</v>
      </c>
      <c r="Z221" s="18">
        <v>0</v>
      </c>
      <c r="AA221" s="43">
        <v>0</v>
      </c>
      <c r="AB221" s="319" t="s">
        <v>390</v>
      </c>
    </row>
    <row r="222" spans="1:28" s="20" customFormat="1" x14ac:dyDescent="0.3">
      <c r="A222" s="39">
        <v>44416</v>
      </c>
      <c r="B222" s="40">
        <v>19.100000000000001</v>
      </c>
      <c r="C222" s="14">
        <v>29.1</v>
      </c>
      <c r="D222" s="14">
        <v>21.1</v>
      </c>
      <c r="E222" s="14">
        <v>29.5</v>
      </c>
      <c r="F222" s="14">
        <v>14.2</v>
      </c>
      <c r="G222" s="76">
        <f t="shared" si="14"/>
        <v>15.3</v>
      </c>
      <c r="H222" s="76">
        <f t="shared" si="15"/>
        <v>22.6</v>
      </c>
      <c r="I222" s="78">
        <v>22.21958333333334</v>
      </c>
      <c r="J222" s="30">
        <v>21.9</v>
      </c>
      <c r="K222" s="30">
        <v>13.4</v>
      </c>
      <c r="L222" s="83">
        <v>17.718125000000068</v>
      </c>
      <c r="M222" s="114">
        <v>96.1</v>
      </c>
      <c r="N222" s="31">
        <v>55.4</v>
      </c>
      <c r="O222" s="109">
        <v>77.295069444444451</v>
      </c>
      <c r="P222" s="117">
        <v>1014.84175170167</v>
      </c>
      <c r="Q222" s="21">
        <v>1011.45744389263</v>
      </c>
      <c r="R222" s="70">
        <v>1012.7187805930777</v>
      </c>
      <c r="S222" s="71">
        <v>7.5000186411821108</v>
      </c>
      <c r="T222" s="61">
        <v>4.6071543081547226</v>
      </c>
      <c r="U222" s="25">
        <v>1.9444802794046889</v>
      </c>
      <c r="V222" s="218" t="s">
        <v>232</v>
      </c>
      <c r="W222" s="220" t="s">
        <v>213</v>
      </c>
      <c r="X222" s="16">
        <v>31.2</v>
      </c>
      <c r="Y222" s="17">
        <v>7.9</v>
      </c>
      <c r="Z222" s="18">
        <v>0</v>
      </c>
      <c r="AA222" s="43">
        <v>0</v>
      </c>
      <c r="AB222" s="319" t="s">
        <v>211</v>
      </c>
    </row>
    <row r="223" spans="1:28" s="20" customFormat="1" x14ac:dyDescent="0.3">
      <c r="A223" s="39">
        <v>44417</v>
      </c>
      <c r="B223" s="40">
        <v>18.2</v>
      </c>
      <c r="C223" s="14">
        <v>27.4</v>
      </c>
      <c r="D223" s="14">
        <v>17.100000000000001</v>
      </c>
      <c r="E223" s="14">
        <v>28.2</v>
      </c>
      <c r="F223" s="14">
        <v>14.4</v>
      </c>
      <c r="G223" s="76">
        <f t="shared" si="14"/>
        <v>13.799999999999999</v>
      </c>
      <c r="H223" s="76">
        <f t="shared" si="15"/>
        <v>19.95</v>
      </c>
      <c r="I223" s="78">
        <v>21.172430555555518</v>
      </c>
      <c r="J223" s="30">
        <v>22.1</v>
      </c>
      <c r="K223" s="30">
        <v>13.4</v>
      </c>
      <c r="L223" s="83">
        <v>17.42590277777779</v>
      </c>
      <c r="M223" s="114">
        <v>95.4</v>
      </c>
      <c r="N223" s="31">
        <v>56.1</v>
      </c>
      <c r="O223" s="109">
        <v>80.623472222222233</v>
      </c>
      <c r="P223" s="117">
        <v>1020.1135664869699</v>
      </c>
      <c r="Q223" s="21">
        <v>1013.5497991209</v>
      </c>
      <c r="R223" s="70">
        <v>1018.7454238801602</v>
      </c>
      <c r="S223" s="71">
        <v>6.8000169013384442</v>
      </c>
      <c r="T223" s="61">
        <v>4.3000106876110689</v>
      </c>
      <c r="U223" s="25">
        <v>1.5772587978982209</v>
      </c>
      <c r="V223" s="218" t="s">
        <v>237</v>
      </c>
      <c r="W223" s="220"/>
      <c r="X223" s="16">
        <v>0</v>
      </c>
      <c r="Y223" s="17">
        <v>0</v>
      </c>
      <c r="Z223" s="18">
        <v>0</v>
      </c>
      <c r="AA223" s="43">
        <v>0</v>
      </c>
      <c r="AB223" s="319" t="s">
        <v>485</v>
      </c>
    </row>
    <row r="224" spans="1:28" s="20" customFormat="1" x14ac:dyDescent="0.3">
      <c r="A224" s="39">
        <v>44418</v>
      </c>
      <c r="B224" s="40">
        <v>17.2</v>
      </c>
      <c r="C224" s="14">
        <v>30.2</v>
      </c>
      <c r="D224" s="14">
        <v>18.7</v>
      </c>
      <c r="E224" s="14">
        <v>30.6</v>
      </c>
      <c r="F224" s="14">
        <v>12.3</v>
      </c>
      <c r="G224" s="76">
        <f t="shared" si="14"/>
        <v>18.3</v>
      </c>
      <c r="H224" s="76">
        <f t="shared" si="15"/>
        <v>21.2</v>
      </c>
      <c r="I224" s="78">
        <v>20.835763888888895</v>
      </c>
      <c r="J224" s="30">
        <v>23</v>
      </c>
      <c r="K224" s="30">
        <v>11.4</v>
      </c>
      <c r="L224" s="83">
        <v>17.069722222222239</v>
      </c>
      <c r="M224" s="114">
        <v>97.1</v>
      </c>
      <c r="N224" s="31">
        <v>48.7</v>
      </c>
      <c r="O224" s="109">
        <v>80.997152777777856</v>
      </c>
      <c r="P224" s="117">
        <v>1019.93729881073</v>
      </c>
      <c r="Q224" s="21">
        <v>1014.50918589551</v>
      </c>
      <c r="R224" s="70">
        <v>1017.4198369747816</v>
      </c>
      <c r="S224" s="71">
        <v>5.1000126760038338</v>
      </c>
      <c r="T224" s="61">
        <v>2.7151853199803249</v>
      </c>
      <c r="U224" s="25">
        <v>0.72941029508103594</v>
      </c>
      <c r="V224" s="218" t="s">
        <v>268</v>
      </c>
      <c r="W224" s="220"/>
      <c r="X224" s="16">
        <v>0</v>
      </c>
      <c r="Y224" s="17">
        <v>0</v>
      </c>
      <c r="Z224" s="18">
        <v>0</v>
      </c>
      <c r="AA224" s="43">
        <v>0</v>
      </c>
      <c r="AB224" s="319" t="s">
        <v>390</v>
      </c>
    </row>
    <row r="225" spans="1:28" s="20" customFormat="1" x14ac:dyDescent="0.3">
      <c r="A225" s="39">
        <v>44419</v>
      </c>
      <c r="B225" s="40">
        <v>17.600000000000001</v>
      </c>
      <c r="C225" s="14">
        <v>26.9</v>
      </c>
      <c r="D225" s="14">
        <v>17</v>
      </c>
      <c r="E225" s="14">
        <v>29.9</v>
      </c>
      <c r="F225" s="14">
        <v>14.4</v>
      </c>
      <c r="G225" s="76">
        <f t="shared" si="14"/>
        <v>15.499999999999998</v>
      </c>
      <c r="H225" s="76">
        <f t="shared" si="15"/>
        <v>19.625</v>
      </c>
      <c r="I225" s="78">
        <v>20.629097222222224</v>
      </c>
      <c r="J225" s="30">
        <v>22.1</v>
      </c>
      <c r="K225" s="30">
        <v>13.5</v>
      </c>
      <c r="L225" s="83">
        <v>17.675000000000008</v>
      </c>
      <c r="M225" s="114">
        <v>98</v>
      </c>
      <c r="N225" s="31">
        <v>50.2</v>
      </c>
      <c r="O225" s="109">
        <v>84.773888888888891</v>
      </c>
      <c r="P225" s="117">
        <v>1020.21962341493</v>
      </c>
      <c r="Q225" s="21">
        <v>1015.32917705407</v>
      </c>
      <c r="R225" s="70">
        <v>1017.0818168014076</v>
      </c>
      <c r="S225" s="71">
        <v>6.8000169013384442</v>
      </c>
      <c r="T225" s="61">
        <v>4.6142971830510833</v>
      </c>
      <c r="U225" s="25">
        <v>0.85908778339774949</v>
      </c>
      <c r="V225" s="218" t="s">
        <v>237</v>
      </c>
      <c r="W225" s="220" t="s">
        <v>323</v>
      </c>
      <c r="X225" s="16">
        <v>51.6</v>
      </c>
      <c r="Y225" s="17">
        <v>6</v>
      </c>
      <c r="Z225" s="18">
        <v>0</v>
      </c>
      <c r="AA225" s="43">
        <v>0</v>
      </c>
      <c r="AB225" s="319" t="s">
        <v>491</v>
      </c>
    </row>
    <row r="226" spans="1:28" s="20" customFormat="1" x14ac:dyDescent="0.3">
      <c r="A226" s="39">
        <v>44420</v>
      </c>
      <c r="B226" s="40">
        <v>16.899999999999999</v>
      </c>
      <c r="C226" s="14">
        <v>27.1</v>
      </c>
      <c r="D226" s="14">
        <v>14.7</v>
      </c>
      <c r="E226" s="14">
        <v>27.4</v>
      </c>
      <c r="F226" s="14">
        <v>11.5</v>
      </c>
      <c r="G226" s="76">
        <f t="shared" si="14"/>
        <v>15.899999999999999</v>
      </c>
      <c r="H226" s="76">
        <f t="shared" si="15"/>
        <v>18.350000000000001</v>
      </c>
      <c r="I226" s="78">
        <v>18.918472222222238</v>
      </c>
      <c r="J226" s="30">
        <v>20</v>
      </c>
      <c r="K226" s="30">
        <v>10.8</v>
      </c>
      <c r="L226" s="83">
        <v>14.235138888888867</v>
      </c>
      <c r="M226" s="114">
        <v>97.8</v>
      </c>
      <c r="N226" s="31">
        <v>44.7</v>
      </c>
      <c r="O226" s="109">
        <v>77.005138888888951</v>
      </c>
      <c r="P226" s="117">
        <v>1024.3422857394801</v>
      </c>
      <c r="Q226" s="21">
        <v>1020.12886867235</v>
      </c>
      <c r="R226" s="70">
        <v>1021.9427296895709</v>
      </c>
      <c r="S226" s="71">
        <v>8.5000211266730545</v>
      </c>
      <c r="T226" s="61">
        <v>3.4607228872883193</v>
      </c>
      <c r="U226" s="25">
        <v>1.1616554997109136</v>
      </c>
      <c r="V226" s="218" t="s">
        <v>237</v>
      </c>
      <c r="W226" s="220"/>
      <c r="X226" s="16">
        <v>0</v>
      </c>
      <c r="Y226" s="17">
        <v>0</v>
      </c>
      <c r="Z226" s="18">
        <v>0</v>
      </c>
      <c r="AA226" s="43">
        <v>0</v>
      </c>
      <c r="AB226" s="319" t="s">
        <v>462</v>
      </c>
    </row>
    <row r="227" spans="1:28" s="20" customFormat="1" x14ac:dyDescent="0.3">
      <c r="A227" s="39">
        <v>44421</v>
      </c>
      <c r="B227" s="40">
        <v>14.6</v>
      </c>
      <c r="C227" s="14">
        <v>27.9</v>
      </c>
      <c r="D227" s="14">
        <v>17.2</v>
      </c>
      <c r="E227" s="14">
        <v>28.5</v>
      </c>
      <c r="F227" s="14">
        <v>9.6999999999999993</v>
      </c>
      <c r="G227" s="76">
        <f t="shared" si="14"/>
        <v>18.8</v>
      </c>
      <c r="H227" s="76">
        <f t="shared" si="15"/>
        <v>19.225000000000001</v>
      </c>
      <c r="I227" s="78">
        <v>19.039722222222188</v>
      </c>
      <c r="J227" s="30">
        <v>20.9</v>
      </c>
      <c r="K227" s="30">
        <v>8.9</v>
      </c>
      <c r="L227" s="83">
        <v>14.595833333333333</v>
      </c>
      <c r="M227" s="114">
        <v>96.9</v>
      </c>
      <c r="N227" s="31">
        <v>47.7</v>
      </c>
      <c r="O227" s="109">
        <v>77.953888888888969</v>
      </c>
      <c r="P227" s="117">
        <v>1025.24950306901</v>
      </c>
      <c r="Q227" s="21">
        <v>1021.36349544237</v>
      </c>
      <c r="R227" s="70">
        <v>1023.4870092785934</v>
      </c>
      <c r="S227" s="71">
        <v>5.1000126760038338</v>
      </c>
      <c r="T227" s="61">
        <v>3.0223289405239719</v>
      </c>
      <c r="U227" s="25">
        <v>0.98734744411639908</v>
      </c>
      <c r="V227" s="218" t="s">
        <v>303</v>
      </c>
      <c r="W227" s="221"/>
      <c r="X227" s="26">
        <v>0</v>
      </c>
      <c r="Y227" s="27">
        <v>0</v>
      </c>
      <c r="Z227" s="28">
        <v>0</v>
      </c>
      <c r="AA227" s="29">
        <v>0</v>
      </c>
      <c r="AB227" s="320" t="s">
        <v>330</v>
      </c>
    </row>
    <row r="228" spans="1:28" s="20" customFormat="1" x14ac:dyDescent="0.3">
      <c r="A228" s="39">
        <v>44422</v>
      </c>
      <c r="B228" s="40">
        <v>15.5</v>
      </c>
      <c r="C228" s="14">
        <v>29.8</v>
      </c>
      <c r="D228" s="14">
        <v>19.5</v>
      </c>
      <c r="E228" s="14">
        <v>29.9</v>
      </c>
      <c r="F228" s="14">
        <v>12.5</v>
      </c>
      <c r="G228" s="76">
        <f t="shared" si="14"/>
        <v>17.399999999999999</v>
      </c>
      <c r="H228" s="76">
        <f t="shared" si="15"/>
        <v>21.074999999999999</v>
      </c>
      <c r="I228" s="78">
        <v>20.53550877192982</v>
      </c>
      <c r="J228" s="30">
        <v>22.1</v>
      </c>
      <c r="K228" s="30">
        <v>11.7</v>
      </c>
      <c r="L228" s="83">
        <v>17.027157894736803</v>
      </c>
      <c r="M228" s="114">
        <v>96.7</v>
      </c>
      <c r="N228" s="31">
        <v>53.9</v>
      </c>
      <c r="O228" s="109">
        <v>81.999017543859566</v>
      </c>
      <c r="P228" s="117">
        <v>1023.18995003362</v>
      </c>
      <c r="Q228" s="21">
        <v>1017.98925465586</v>
      </c>
      <c r="R228" s="70">
        <v>1020.5284032091408</v>
      </c>
      <c r="S228" s="71">
        <v>6.1000151614947775</v>
      </c>
      <c r="T228" s="61">
        <v>3.6571519469383191</v>
      </c>
      <c r="U228" s="25">
        <v>1.0569594722947651</v>
      </c>
      <c r="V228" s="218" t="s">
        <v>268</v>
      </c>
      <c r="W228" s="221" t="s">
        <v>224</v>
      </c>
      <c r="X228" s="26">
        <v>0</v>
      </c>
      <c r="Y228" s="27">
        <v>0</v>
      </c>
      <c r="Z228" s="28">
        <v>0</v>
      </c>
      <c r="AA228" s="29">
        <v>0</v>
      </c>
      <c r="AB228" s="320" t="s">
        <v>492</v>
      </c>
    </row>
    <row r="229" spans="1:28" s="20" customFormat="1" x14ac:dyDescent="0.3">
      <c r="A229" s="39">
        <v>44423</v>
      </c>
      <c r="B229" s="40">
        <v>18.100000000000001</v>
      </c>
      <c r="C229" s="14">
        <v>31.1</v>
      </c>
      <c r="D229" s="14">
        <v>19.7</v>
      </c>
      <c r="E229" s="14">
        <v>31.6</v>
      </c>
      <c r="F229" s="14">
        <v>15.8</v>
      </c>
      <c r="G229" s="76">
        <f t="shared" si="14"/>
        <v>15.8</v>
      </c>
      <c r="H229" s="76">
        <f t="shared" si="15"/>
        <v>22.15</v>
      </c>
      <c r="I229" s="78">
        <v>22.48569444444443</v>
      </c>
      <c r="J229" s="30">
        <v>23.6</v>
      </c>
      <c r="K229" s="30">
        <v>14.9</v>
      </c>
      <c r="L229" s="83">
        <v>18.739583333333321</v>
      </c>
      <c r="M229" s="114">
        <v>96.8</v>
      </c>
      <c r="N229" s="31">
        <v>54.8</v>
      </c>
      <c r="O229" s="109">
        <v>81.371458333333337</v>
      </c>
      <c r="P229" s="117">
        <v>1018.51831599996</v>
      </c>
      <c r="Q229" s="21">
        <v>1011.7064662718</v>
      </c>
      <c r="R229" s="70">
        <v>1015.1888065253245</v>
      </c>
      <c r="S229" s="71">
        <v>8.5000211266730545</v>
      </c>
      <c r="T229" s="61">
        <v>4.6571544324292642</v>
      </c>
      <c r="U229" s="25">
        <v>1.3927799994318886</v>
      </c>
      <c r="V229" s="218" t="s">
        <v>233</v>
      </c>
      <c r="W229" s="221" t="s">
        <v>213</v>
      </c>
      <c r="X229" s="26">
        <v>4.8</v>
      </c>
      <c r="Y229" s="27">
        <v>2.2000000000000002</v>
      </c>
      <c r="Z229" s="28">
        <v>0</v>
      </c>
      <c r="AA229" s="29">
        <v>0</v>
      </c>
      <c r="AB229" s="320" t="s">
        <v>499</v>
      </c>
    </row>
    <row r="230" spans="1:28" s="20" customFormat="1" x14ac:dyDescent="0.3">
      <c r="A230" s="39">
        <v>44424</v>
      </c>
      <c r="B230" s="40">
        <v>20.399999999999999</v>
      </c>
      <c r="C230" s="14">
        <v>29.1</v>
      </c>
      <c r="D230" s="14">
        <v>20.399999999999999</v>
      </c>
      <c r="E230" s="14">
        <v>29.8</v>
      </c>
      <c r="F230" s="14">
        <v>16.8</v>
      </c>
      <c r="G230" s="76">
        <f t="shared" si="14"/>
        <v>13</v>
      </c>
      <c r="H230" s="76">
        <f t="shared" si="15"/>
        <v>22.574999999999999</v>
      </c>
      <c r="I230" s="78">
        <v>22.871875000000045</v>
      </c>
      <c r="J230" s="30">
        <v>23.7</v>
      </c>
      <c r="K230" s="30">
        <v>15.8</v>
      </c>
      <c r="L230" s="83">
        <v>19.360694444444498</v>
      </c>
      <c r="M230" s="114">
        <v>96.6</v>
      </c>
      <c r="N230" s="31">
        <v>58.4</v>
      </c>
      <c r="O230" s="109">
        <v>81.914930555555571</v>
      </c>
      <c r="P230" s="117">
        <v>1013.68721415256</v>
      </c>
      <c r="Q230" s="21">
        <v>1006.88081944483</v>
      </c>
      <c r="R230" s="70">
        <v>1010.2060968079833</v>
      </c>
      <c r="S230" s="71">
        <v>9.9000246063603612</v>
      </c>
      <c r="T230" s="61">
        <v>5.5928710438529308</v>
      </c>
      <c r="U230" s="25">
        <v>2.0521876403636621</v>
      </c>
      <c r="V230" s="218" t="s">
        <v>233</v>
      </c>
      <c r="W230" s="221" t="s">
        <v>213</v>
      </c>
      <c r="X230" s="26">
        <v>18</v>
      </c>
      <c r="Y230" s="27">
        <v>13.4</v>
      </c>
      <c r="Z230" s="28">
        <v>0</v>
      </c>
      <c r="AA230" s="29">
        <v>0</v>
      </c>
      <c r="AB230" s="320" t="s">
        <v>511</v>
      </c>
    </row>
    <row r="231" spans="1:28" s="20" customFormat="1" x14ac:dyDescent="0.3">
      <c r="A231" s="39">
        <v>44425</v>
      </c>
      <c r="B231" s="40">
        <v>17.8</v>
      </c>
      <c r="C231" s="14">
        <v>17.399999999999999</v>
      </c>
      <c r="D231" s="14">
        <v>11.3</v>
      </c>
      <c r="E231" s="14">
        <v>19.8</v>
      </c>
      <c r="F231" s="14">
        <v>9.4</v>
      </c>
      <c r="G231" s="76">
        <f t="shared" si="14"/>
        <v>10.4</v>
      </c>
      <c r="H231" s="76">
        <f t="shared" si="15"/>
        <v>14.450000000000001</v>
      </c>
      <c r="I231" s="78">
        <v>16.28208333333335</v>
      </c>
      <c r="J231" s="30">
        <v>18.8</v>
      </c>
      <c r="K231" s="30">
        <v>8.5</v>
      </c>
      <c r="L231" s="83">
        <v>14.572847222222183</v>
      </c>
      <c r="M231" s="114">
        <v>96.4</v>
      </c>
      <c r="N231" s="31">
        <v>75.099999999999994</v>
      </c>
      <c r="O231" s="109">
        <v>89.798958333333402</v>
      </c>
      <c r="P231" s="117">
        <v>1017.10284088234</v>
      </c>
      <c r="Q231" s="21">
        <v>1006.0610668030801</v>
      </c>
      <c r="R231" s="70">
        <v>1012.6202063914594</v>
      </c>
      <c r="S231" s="71">
        <v>7.5000186411821108</v>
      </c>
      <c r="T231" s="61">
        <v>4.0357243164456111</v>
      </c>
      <c r="U231" s="25">
        <v>1.1368931200427033</v>
      </c>
      <c r="V231" s="218" t="s">
        <v>240</v>
      </c>
      <c r="W231" s="221" t="s">
        <v>213</v>
      </c>
      <c r="X231" s="26">
        <v>2.4</v>
      </c>
      <c r="Y231" s="27">
        <v>0.6</v>
      </c>
      <c r="Z231" s="28">
        <v>0</v>
      </c>
      <c r="AA231" s="29">
        <v>0</v>
      </c>
      <c r="AB231" s="320" t="s">
        <v>502</v>
      </c>
    </row>
    <row r="232" spans="1:28" s="20" customFormat="1" x14ac:dyDescent="0.3">
      <c r="A232" s="39">
        <v>44426</v>
      </c>
      <c r="B232" s="40">
        <v>11.8</v>
      </c>
      <c r="C232" s="14">
        <v>19.7</v>
      </c>
      <c r="D232" s="14">
        <v>11.5</v>
      </c>
      <c r="E232" s="14">
        <v>23.5</v>
      </c>
      <c r="F232" s="14">
        <v>9.1</v>
      </c>
      <c r="G232" s="76">
        <f t="shared" si="14"/>
        <v>14.4</v>
      </c>
      <c r="H232" s="76">
        <f t="shared" si="15"/>
        <v>13.625</v>
      </c>
      <c r="I232" s="78">
        <v>14.495972222222223</v>
      </c>
      <c r="J232" s="30">
        <v>17.399999999999999</v>
      </c>
      <c r="K232" s="30">
        <v>8.1999999999999993</v>
      </c>
      <c r="L232" s="83">
        <v>11.531249999999988</v>
      </c>
      <c r="M232" s="114">
        <v>97.1</v>
      </c>
      <c r="N232" s="31">
        <v>48.8</v>
      </c>
      <c r="O232" s="109">
        <v>83.878958333333188</v>
      </c>
      <c r="P232" s="117">
        <v>1016.83036478606</v>
      </c>
      <c r="Q232" s="21">
        <v>1014.19038354977</v>
      </c>
      <c r="R232" s="70">
        <v>1015.6202131353067</v>
      </c>
      <c r="S232" s="71">
        <v>5.1000126760038338</v>
      </c>
      <c r="T232" s="61">
        <v>2.5500063380019138</v>
      </c>
      <c r="U232" s="25">
        <v>0.79156153241660532</v>
      </c>
      <c r="V232" s="218" t="s">
        <v>237</v>
      </c>
      <c r="W232" s="221"/>
      <c r="X232" s="26">
        <v>0</v>
      </c>
      <c r="Y232" s="27">
        <v>0</v>
      </c>
      <c r="Z232" s="28">
        <v>0</v>
      </c>
      <c r="AA232" s="29">
        <v>0</v>
      </c>
      <c r="AB232" s="320" t="s">
        <v>333</v>
      </c>
    </row>
    <row r="233" spans="1:28" s="20" customFormat="1" x14ac:dyDescent="0.3">
      <c r="A233" s="39">
        <v>44427</v>
      </c>
      <c r="B233" s="40">
        <v>11.3</v>
      </c>
      <c r="C233" s="14">
        <v>23.9</v>
      </c>
      <c r="D233" s="14">
        <v>16.2</v>
      </c>
      <c r="E233" s="14">
        <v>24.9</v>
      </c>
      <c r="F233" s="14">
        <v>8.9</v>
      </c>
      <c r="G233" s="76">
        <f t="shared" si="14"/>
        <v>15.999999999999998</v>
      </c>
      <c r="H233" s="76">
        <f t="shared" si="15"/>
        <v>16.899999999999999</v>
      </c>
      <c r="I233" s="78">
        <v>16.589791666666724</v>
      </c>
      <c r="J233" s="30">
        <v>17.7</v>
      </c>
      <c r="K233" s="30">
        <v>8</v>
      </c>
      <c r="L233" s="83">
        <v>13.0581250000001</v>
      </c>
      <c r="M233" s="114">
        <v>96.7</v>
      </c>
      <c r="N233" s="31">
        <v>52.9</v>
      </c>
      <c r="O233" s="109">
        <v>81.482430555555496</v>
      </c>
      <c r="P233" s="117">
        <v>1016.74789287147</v>
      </c>
      <c r="Q233" s="21">
        <v>1013.9772755753399</v>
      </c>
      <c r="R233" s="70">
        <v>1015.4665239262662</v>
      </c>
      <c r="S233" s="71">
        <v>5.4000134216511109</v>
      </c>
      <c r="T233" s="61">
        <v>3.4357228251510414</v>
      </c>
      <c r="U233" s="25">
        <v>1.0711770175528919</v>
      </c>
      <c r="V233" s="218" t="s">
        <v>303</v>
      </c>
      <c r="W233" s="221"/>
      <c r="X233" s="26">
        <v>0</v>
      </c>
      <c r="Y233" s="27">
        <v>0</v>
      </c>
      <c r="Z233" s="28">
        <v>0</v>
      </c>
      <c r="AA233" s="29">
        <v>0</v>
      </c>
      <c r="AB233" s="320" t="s">
        <v>270</v>
      </c>
    </row>
    <row r="234" spans="1:28" s="20" customFormat="1" x14ac:dyDescent="0.3">
      <c r="A234" s="39">
        <v>44428</v>
      </c>
      <c r="B234" s="40">
        <v>15.6</v>
      </c>
      <c r="C234" s="14">
        <v>24.9</v>
      </c>
      <c r="D234" s="14">
        <v>17.5</v>
      </c>
      <c r="E234" s="14">
        <v>26.3</v>
      </c>
      <c r="F234" s="14">
        <v>14.7</v>
      </c>
      <c r="G234" s="76">
        <f t="shared" si="14"/>
        <v>11.600000000000001</v>
      </c>
      <c r="H234" s="76">
        <f t="shared" si="15"/>
        <v>18.875</v>
      </c>
      <c r="I234" s="78">
        <v>18.94034722222224</v>
      </c>
      <c r="J234" s="30">
        <v>20.5</v>
      </c>
      <c r="K234" s="30">
        <v>13.8</v>
      </c>
      <c r="L234" s="83">
        <v>16.001111111111129</v>
      </c>
      <c r="M234" s="114">
        <v>95.8</v>
      </c>
      <c r="N234" s="31">
        <v>60.5</v>
      </c>
      <c r="O234" s="109">
        <v>84.128541666666635</v>
      </c>
      <c r="P234" s="117">
        <v>1017.70778071573</v>
      </c>
      <c r="Q234" s="21">
        <v>1015.73403635599</v>
      </c>
      <c r="R234" s="70">
        <v>1016.728454599539</v>
      </c>
      <c r="S234" s="71">
        <v>4.8000119303565558</v>
      </c>
      <c r="T234" s="61">
        <v>3.0500075807473834</v>
      </c>
      <c r="U234" s="25">
        <v>0.79642435053233929</v>
      </c>
      <c r="V234" s="218" t="s">
        <v>303</v>
      </c>
      <c r="W234" s="221"/>
      <c r="X234" s="26">
        <v>0</v>
      </c>
      <c r="Y234" s="27">
        <v>0</v>
      </c>
      <c r="Z234" s="28">
        <v>0</v>
      </c>
      <c r="AA234" s="29">
        <v>0</v>
      </c>
      <c r="AB234" s="320" t="s">
        <v>209</v>
      </c>
    </row>
    <row r="235" spans="1:28" s="20" customFormat="1" x14ac:dyDescent="0.3">
      <c r="A235" s="39">
        <v>44429</v>
      </c>
      <c r="B235" s="40">
        <v>15.8</v>
      </c>
      <c r="C235" s="14">
        <v>27</v>
      </c>
      <c r="D235" s="14">
        <v>16.7</v>
      </c>
      <c r="E235" s="14">
        <v>27.7</v>
      </c>
      <c r="F235" s="14">
        <v>13.5</v>
      </c>
      <c r="G235" s="76">
        <f t="shared" si="14"/>
        <v>14.2</v>
      </c>
      <c r="H235" s="76">
        <f t="shared" si="15"/>
        <v>19.049999999999997</v>
      </c>
      <c r="I235" s="78">
        <v>19.645833333333297</v>
      </c>
      <c r="J235" s="30">
        <v>20.5</v>
      </c>
      <c r="K235" s="30">
        <v>12.7</v>
      </c>
      <c r="L235" s="83">
        <v>15.947638888888941</v>
      </c>
      <c r="M235" s="114">
        <v>96.7</v>
      </c>
      <c r="N235" s="31">
        <v>53.8</v>
      </c>
      <c r="O235" s="109">
        <v>80.913333333333355</v>
      </c>
      <c r="P235" s="117">
        <v>1020.21586720852</v>
      </c>
      <c r="Q235" s="21">
        <v>1017.47408994717</v>
      </c>
      <c r="R235" s="70">
        <v>1018.7645996302849</v>
      </c>
      <c r="S235" s="71">
        <v>6.5000161556911662</v>
      </c>
      <c r="T235" s="61">
        <v>3.8857239436219722</v>
      </c>
      <c r="U235" s="25">
        <v>1.053611249687094</v>
      </c>
      <c r="V235" s="218" t="s">
        <v>236</v>
      </c>
      <c r="W235" s="221"/>
      <c r="X235" s="26">
        <v>0</v>
      </c>
      <c r="Y235" s="27">
        <v>0</v>
      </c>
      <c r="Z235" s="28">
        <v>0</v>
      </c>
      <c r="AA235" s="29">
        <v>0</v>
      </c>
      <c r="AB235" s="320" t="s">
        <v>333</v>
      </c>
    </row>
    <row r="236" spans="1:28" s="20" customFormat="1" x14ac:dyDescent="0.3">
      <c r="A236" s="39">
        <v>44430</v>
      </c>
      <c r="B236" s="40">
        <v>16.2</v>
      </c>
      <c r="C236" s="14">
        <v>25.8</v>
      </c>
      <c r="D236" s="14">
        <v>16.899999999999999</v>
      </c>
      <c r="E236" s="14">
        <v>27.9</v>
      </c>
      <c r="F236" s="14">
        <v>14</v>
      </c>
      <c r="G236" s="76">
        <f t="shared" si="14"/>
        <v>13.899999999999999</v>
      </c>
      <c r="H236" s="76">
        <f t="shared" si="15"/>
        <v>18.95</v>
      </c>
      <c r="I236" s="78">
        <v>19.84132404181193</v>
      </c>
      <c r="J236" s="30">
        <v>20.3</v>
      </c>
      <c r="K236" s="30">
        <v>13.2</v>
      </c>
      <c r="L236" s="83">
        <v>16.16306620209059</v>
      </c>
      <c r="M236" s="114">
        <v>96.4</v>
      </c>
      <c r="N236" s="31">
        <v>53.7</v>
      </c>
      <c r="O236" s="109">
        <v>81.148153310104348</v>
      </c>
      <c r="P236" s="117">
        <v>1020.10980539491</v>
      </c>
      <c r="Q236" s="21">
        <v>1016.17561554136</v>
      </c>
      <c r="R236" s="70">
        <v>1018.1431019269324</v>
      </c>
      <c r="S236" s="71">
        <v>5.4000134216511109</v>
      </c>
      <c r="T236" s="61">
        <v>2.8133998498053305</v>
      </c>
      <c r="U236" s="25">
        <v>0.82402238539667572</v>
      </c>
      <c r="V236" s="218" t="s">
        <v>268</v>
      </c>
      <c r="W236" s="221" t="s">
        <v>213</v>
      </c>
      <c r="X236" s="26">
        <v>4.8</v>
      </c>
      <c r="Y236" s="27">
        <v>4.5999999999999996</v>
      </c>
      <c r="Z236" s="28">
        <v>0</v>
      </c>
      <c r="AA236" s="29">
        <v>0</v>
      </c>
      <c r="AB236" s="320" t="s">
        <v>355</v>
      </c>
    </row>
    <row r="237" spans="1:28" s="20" customFormat="1" x14ac:dyDescent="0.3">
      <c r="A237" s="39">
        <v>44431</v>
      </c>
      <c r="B237" s="40">
        <v>16.899999999999999</v>
      </c>
      <c r="C237" s="14">
        <v>21.6</v>
      </c>
      <c r="D237" s="14">
        <v>17.2</v>
      </c>
      <c r="E237" s="14">
        <v>21.7</v>
      </c>
      <c r="F237" s="14">
        <v>16</v>
      </c>
      <c r="G237" s="76">
        <f t="shared" si="14"/>
        <v>5.6999999999999993</v>
      </c>
      <c r="H237" s="76">
        <f t="shared" si="15"/>
        <v>18.225000000000001</v>
      </c>
      <c r="I237" s="78">
        <v>18.134097222222213</v>
      </c>
      <c r="J237" s="30">
        <v>20</v>
      </c>
      <c r="K237" s="30">
        <v>15.2</v>
      </c>
      <c r="L237" s="83">
        <v>17.20701388888893</v>
      </c>
      <c r="M237" s="114">
        <v>97.1</v>
      </c>
      <c r="N237" s="31">
        <v>87.5</v>
      </c>
      <c r="O237" s="109">
        <v>94.388611111111459</v>
      </c>
      <c r="P237" s="117">
        <v>1017.86409177543</v>
      </c>
      <c r="Q237" s="21">
        <v>1014.5439533028</v>
      </c>
      <c r="R237" s="70">
        <v>1015.9097219189579</v>
      </c>
      <c r="S237" s="71">
        <v>3.1000077050219446</v>
      </c>
      <c r="T237" s="61">
        <v>2.2857199668364498</v>
      </c>
      <c r="U237" s="25">
        <v>0.65960605412334072</v>
      </c>
      <c r="V237" s="218" t="s">
        <v>240</v>
      </c>
      <c r="W237" s="221" t="s">
        <v>213</v>
      </c>
      <c r="X237" s="26">
        <v>6</v>
      </c>
      <c r="Y237" s="27">
        <v>11.1</v>
      </c>
      <c r="Z237" s="28">
        <v>0</v>
      </c>
      <c r="AA237" s="29">
        <v>0</v>
      </c>
      <c r="AB237" s="320" t="s">
        <v>212</v>
      </c>
    </row>
    <row r="238" spans="1:28" s="20" customFormat="1" x14ac:dyDescent="0.3">
      <c r="A238" s="39">
        <v>44432</v>
      </c>
      <c r="B238" s="40">
        <v>16.2</v>
      </c>
      <c r="C238" s="14">
        <v>20.5</v>
      </c>
      <c r="D238" s="14">
        <v>13.1</v>
      </c>
      <c r="E238" s="14">
        <v>23.1</v>
      </c>
      <c r="F238" s="14">
        <v>12.8</v>
      </c>
      <c r="G238" s="76">
        <f t="shared" si="14"/>
        <v>10.3</v>
      </c>
      <c r="H238" s="76">
        <f t="shared" si="15"/>
        <v>15.725000000000001</v>
      </c>
      <c r="I238" s="78">
        <v>16.460069444444414</v>
      </c>
      <c r="J238" s="30">
        <v>20.3</v>
      </c>
      <c r="K238" s="30">
        <v>11.1</v>
      </c>
      <c r="L238" s="83">
        <v>14.861180555555583</v>
      </c>
      <c r="M238" s="114">
        <v>97.6</v>
      </c>
      <c r="N238" s="31">
        <v>73.7</v>
      </c>
      <c r="O238" s="109">
        <v>90.521527777777706</v>
      </c>
      <c r="P238" s="117">
        <v>1020.95552113895</v>
      </c>
      <c r="Q238" s="21">
        <v>1013.410004237</v>
      </c>
      <c r="R238" s="70">
        <v>1016.6744763094583</v>
      </c>
      <c r="S238" s="71">
        <v>8.2000203810257499</v>
      </c>
      <c r="T238" s="61">
        <v>4.3669751397644863</v>
      </c>
      <c r="U238" s="25">
        <v>1.5277981094882427</v>
      </c>
      <c r="V238" s="218" t="s">
        <v>240</v>
      </c>
      <c r="W238" s="221" t="s">
        <v>213</v>
      </c>
      <c r="X238" s="26">
        <v>4.8</v>
      </c>
      <c r="Y238" s="27">
        <v>0.9</v>
      </c>
      <c r="Z238" s="28">
        <v>0</v>
      </c>
      <c r="AA238" s="29">
        <v>0</v>
      </c>
      <c r="AB238" s="320" t="s">
        <v>467</v>
      </c>
    </row>
    <row r="239" spans="1:28" s="20" customFormat="1" x14ac:dyDescent="0.3">
      <c r="A239" s="39">
        <v>44433</v>
      </c>
      <c r="B239" s="40">
        <v>12.3</v>
      </c>
      <c r="C239" s="14">
        <v>21.2</v>
      </c>
      <c r="D239" s="14">
        <v>10.7</v>
      </c>
      <c r="E239" s="14">
        <v>22.3</v>
      </c>
      <c r="F239" s="14">
        <v>7.3</v>
      </c>
      <c r="G239" s="76">
        <f t="shared" si="14"/>
        <v>15</v>
      </c>
      <c r="H239" s="76">
        <f t="shared" si="15"/>
        <v>13.725</v>
      </c>
      <c r="I239" s="78">
        <v>14.768819444444466</v>
      </c>
      <c r="J239" s="30">
        <v>15.2</v>
      </c>
      <c r="K239" s="30">
        <v>6.4</v>
      </c>
      <c r="L239" s="83">
        <v>10.726875</v>
      </c>
      <c r="M239" s="114">
        <v>94.3</v>
      </c>
      <c r="N239" s="31">
        <v>52.5</v>
      </c>
      <c r="O239" s="109">
        <v>78.316180555555647</v>
      </c>
      <c r="P239" s="117">
        <v>1020.27021938801</v>
      </c>
      <c r="Q239" s="21">
        <v>1013.61077241456</v>
      </c>
      <c r="R239" s="70">
        <v>1017.1006154913082</v>
      </c>
      <c r="S239" s="71">
        <v>8.2000203810257499</v>
      </c>
      <c r="T239" s="61">
        <v>4.8000119303565416</v>
      </c>
      <c r="U239" s="25">
        <v>1.7488448725209453</v>
      </c>
      <c r="V239" s="218" t="s">
        <v>240</v>
      </c>
      <c r="W239" s="221"/>
      <c r="X239" s="26">
        <v>0</v>
      </c>
      <c r="Y239" s="27">
        <v>0</v>
      </c>
      <c r="Z239" s="28">
        <v>0</v>
      </c>
      <c r="AA239" s="29">
        <v>0</v>
      </c>
      <c r="AB239" s="320" t="s">
        <v>286</v>
      </c>
    </row>
    <row r="240" spans="1:28" s="20" customFormat="1" x14ac:dyDescent="0.3">
      <c r="A240" s="39">
        <v>44434</v>
      </c>
      <c r="B240" s="40">
        <v>8.1999999999999993</v>
      </c>
      <c r="C240" s="14">
        <v>19</v>
      </c>
      <c r="D240" s="14">
        <v>12.6</v>
      </c>
      <c r="E240" s="14">
        <v>22.8</v>
      </c>
      <c r="F240" s="14">
        <v>6.5</v>
      </c>
      <c r="G240" s="76">
        <f t="shared" si="14"/>
        <v>16.3</v>
      </c>
      <c r="H240" s="76">
        <f t="shared" si="15"/>
        <v>13.1</v>
      </c>
      <c r="I240" s="78">
        <v>12.976041666666699</v>
      </c>
      <c r="J240" s="30">
        <v>16.8</v>
      </c>
      <c r="K240" s="30">
        <v>5.7</v>
      </c>
      <c r="L240" s="83">
        <v>10.814305555555579</v>
      </c>
      <c r="M240" s="114">
        <v>96.6</v>
      </c>
      <c r="N240" s="31">
        <v>56.6</v>
      </c>
      <c r="O240" s="109">
        <v>87.806111111111193</v>
      </c>
      <c r="P240" s="117">
        <v>1013.5327493856799</v>
      </c>
      <c r="Q240" s="21">
        <v>1007.80818565385</v>
      </c>
      <c r="R240" s="70">
        <v>1009.9223408784369</v>
      </c>
      <c r="S240" s="71">
        <v>8.8000218723203325</v>
      </c>
      <c r="T240" s="61">
        <v>4.7312617594790414</v>
      </c>
      <c r="U240" s="25">
        <v>1.3645867249928547</v>
      </c>
      <c r="V240" s="218" t="s">
        <v>268</v>
      </c>
      <c r="W240" s="221" t="s">
        <v>213</v>
      </c>
      <c r="X240" s="26">
        <v>12</v>
      </c>
      <c r="Y240" s="27">
        <v>4</v>
      </c>
      <c r="Z240" s="28">
        <v>0</v>
      </c>
      <c r="AA240" s="29">
        <v>0</v>
      </c>
      <c r="AB240" s="320" t="s">
        <v>506</v>
      </c>
    </row>
    <row r="241" spans="1:28" s="20" customFormat="1" x14ac:dyDescent="0.3">
      <c r="A241" s="39">
        <v>44435</v>
      </c>
      <c r="B241" s="40">
        <v>12.8</v>
      </c>
      <c r="C241" s="14">
        <v>16.899999999999999</v>
      </c>
      <c r="D241" s="14">
        <v>11.5</v>
      </c>
      <c r="E241" s="14">
        <v>19.100000000000001</v>
      </c>
      <c r="F241" s="14">
        <v>11.2</v>
      </c>
      <c r="G241" s="76">
        <f t="shared" si="14"/>
        <v>7.9000000000000021</v>
      </c>
      <c r="H241" s="76">
        <f t="shared" si="15"/>
        <v>13.175000000000001</v>
      </c>
      <c r="I241" s="78">
        <v>13.61958333333332</v>
      </c>
      <c r="J241" s="30">
        <v>15.4</v>
      </c>
      <c r="K241" s="30">
        <v>10.4</v>
      </c>
      <c r="L241" s="83">
        <v>12.292083333333284</v>
      </c>
      <c r="M241" s="114">
        <v>97.4</v>
      </c>
      <c r="N241" s="31">
        <v>75</v>
      </c>
      <c r="O241" s="109">
        <v>91.925069444444389</v>
      </c>
      <c r="P241" s="117">
        <v>1014.02397238412</v>
      </c>
      <c r="Q241" s="21">
        <v>1009.53641193483</v>
      </c>
      <c r="R241" s="70">
        <v>1011.2688805479829</v>
      </c>
      <c r="S241" s="71">
        <v>6.8000169013384442</v>
      </c>
      <c r="T241" s="61">
        <v>4.1357245649947085</v>
      </c>
      <c r="U241" s="25">
        <v>0.85651254551555356</v>
      </c>
      <c r="V241" s="218" t="s">
        <v>303</v>
      </c>
      <c r="W241" s="221" t="s">
        <v>213</v>
      </c>
      <c r="X241" s="26">
        <v>22.8</v>
      </c>
      <c r="Y241" s="27">
        <v>6</v>
      </c>
      <c r="Z241" s="28">
        <v>0</v>
      </c>
      <c r="AA241" s="29">
        <v>0</v>
      </c>
      <c r="AB241" s="320" t="s">
        <v>507</v>
      </c>
    </row>
    <row r="242" spans="1:28" s="20" customFormat="1" ht="28.8" x14ac:dyDescent="0.3">
      <c r="A242" s="39">
        <v>44436</v>
      </c>
      <c r="B242" s="40">
        <v>11.3</v>
      </c>
      <c r="C242" s="14">
        <v>18.8</v>
      </c>
      <c r="D242" s="14">
        <v>12.3</v>
      </c>
      <c r="E242" s="14">
        <v>19.2</v>
      </c>
      <c r="F242" s="14">
        <v>10.3</v>
      </c>
      <c r="G242" s="76">
        <f t="shared" si="14"/>
        <v>8.8999999999999986</v>
      </c>
      <c r="H242" s="76">
        <f t="shared" si="15"/>
        <v>13.675000000000001</v>
      </c>
      <c r="I242" s="78">
        <v>13.591458333333316</v>
      </c>
      <c r="J242" s="30">
        <v>14.7</v>
      </c>
      <c r="K242" s="30">
        <v>9.6999999999999993</v>
      </c>
      <c r="L242" s="83">
        <v>11.798819444444439</v>
      </c>
      <c r="M242" s="114">
        <v>98.3</v>
      </c>
      <c r="N242" s="31">
        <v>68.400000000000006</v>
      </c>
      <c r="O242" s="109">
        <v>89.453888888888869</v>
      </c>
      <c r="P242" s="117">
        <v>1015.5875063792799</v>
      </c>
      <c r="Q242" s="21">
        <v>1013.05908459159</v>
      </c>
      <c r="R242" s="70">
        <v>1014.5882435482324</v>
      </c>
      <c r="S242" s="71">
        <v>6.8000169013384442</v>
      </c>
      <c r="T242" s="61">
        <v>4.2482248446124302</v>
      </c>
      <c r="U242" s="25">
        <v>0.95019457399572849</v>
      </c>
      <c r="V242" s="218" t="s">
        <v>236</v>
      </c>
      <c r="W242" s="221" t="s">
        <v>224</v>
      </c>
      <c r="X242" s="26">
        <v>0</v>
      </c>
      <c r="Y242" s="27">
        <v>0</v>
      </c>
      <c r="Z242" s="28">
        <v>0</v>
      </c>
      <c r="AA242" s="29">
        <v>0</v>
      </c>
      <c r="AB242" s="320" t="s">
        <v>509</v>
      </c>
    </row>
    <row r="243" spans="1:28" s="20" customFormat="1" x14ac:dyDescent="0.3">
      <c r="A243" s="39">
        <v>44437</v>
      </c>
      <c r="B243" s="40">
        <v>12.3</v>
      </c>
      <c r="C243" s="14">
        <v>14.5</v>
      </c>
      <c r="D243" s="14">
        <v>13.3</v>
      </c>
      <c r="E243" s="14">
        <v>14.6</v>
      </c>
      <c r="F243" s="14">
        <v>11</v>
      </c>
      <c r="G243" s="76">
        <f t="shared" si="14"/>
        <v>3.5999999999999996</v>
      </c>
      <c r="H243" s="76">
        <f t="shared" si="15"/>
        <v>13.350000000000001</v>
      </c>
      <c r="I243" s="78">
        <v>13.153680555555482</v>
      </c>
      <c r="J243" s="30">
        <v>13.8</v>
      </c>
      <c r="K243" s="30">
        <v>10.4</v>
      </c>
      <c r="L243" s="83">
        <v>12.457361111111037</v>
      </c>
      <c r="M243" s="114">
        <v>97.1</v>
      </c>
      <c r="N243" s="31">
        <v>93.9</v>
      </c>
      <c r="O243" s="109">
        <v>95.575555555555511</v>
      </c>
      <c r="P243" s="117">
        <v>1013.21989922368</v>
      </c>
      <c r="Q243" s="21">
        <v>1008.55073522679</v>
      </c>
      <c r="R243" s="70">
        <v>1010.3836965570749</v>
      </c>
      <c r="S243" s="71">
        <v>4.8000119303565558</v>
      </c>
      <c r="T243" s="61">
        <v>2.664292336343733</v>
      </c>
      <c r="U243" s="25">
        <v>0.93020444494548782</v>
      </c>
      <c r="V243" s="218" t="s">
        <v>235</v>
      </c>
      <c r="W243" s="221" t="s">
        <v>213</v>
      </c>
      <c r="X243" s="26">
        <v>6</v>
      </c>
      <c r="Y243" s="27">
        <v>6.9</v>
      </c>
      <c r="Z243" s="28">
        <v>0</v>
      </c>
      <c r="AA243" s="29">
        <v>0</v>
      </c>
      <c r="AB243" s="320" t="s">
        <v>212</v>
      </c>
    </row>
    <row r="244" spans="1:28" s="20" customFormat="1" x14ac:dyDescent="0.3">
      <c r="A244" s="39">
        <v>44438</v>
      </c>
      <c r="B244" s="40">
        <v>13.9</v>
      </c>
      <c r="C244" s="14">
        <v>16.100000000000001</v>
      </c>
      <c r="D244" s="14">
        <v>13</v>
      </c>
      <c r="E244" s="14">
        <v>17</v>
      </c>
      <c r="F244" s="14">
        <v>11.9</v>
      </c>
      <c r="G244" s="76">
        <f t="shared" si="14"/>
        <v>5.0999999999999996</v>
      </c>
      <c r="H244" s="76">
        <f t="shared" si="15"/>
        <v>14</v>
      </c>
      <c r="I244" s="78">
        <v>14.146111111111132</v>
      </c>
      <c r="J244" s="30">
        <v>15.7</v>
      </c>
      <c r="K244" s="30">
        <v>11.3</v>
      </c>
      <c r="L244" s="83">
        <v>13.362638888888902</v>
      </c>
      <c r="M244" s="114">
        <v>98.9</v>
      </c>
      <c r="N244" s="31">
        <v>89</v>
      </c>
      <c r="O244" s="109">
        <v>95.074722222222363</v>
      </c>
      <c r="P244" s="117">
        <v>1012.4056821284501</v>
      </c>
      <c r="Q244" s="21">
        <v>1008.23570315738</v>
      </c>
      <c r="R244" s="70">
        <v>1009.8781489710121</v>
      </c>
      <c r="S244" s="71">
        <v>4.4000109361601663</v>
      </c>
      <c r="T244" s="61">
        <v>2.2928628417328136</v>
      </c>
      <c r="U244" s="25">
        <v>0.61649458784346467</v>
      </c>
      <c r="V244" s="218" t="s">
        <v>231</v>
      </c>
      <c r="W244" s="221" t="s">
        <v>213</v>
      </c>
      <c r="X244" s="26">
        <v>22.8</v>
      </c>
      <c r="Y244" s="27">
        <v>11.9</v>
      </c>
      <c r="Z244" s="28">
        <v>0</v>
      </c>
      <c r="AA244" s="29">
        <v>0</v>
      </c>
      <c r="AB244" s="320" t="s">
        <v>227</v>
      </c>
    </row>
    <row r="245" spans="1:28" s="399" customFormat="1" ht="15" thickBot="1" x14ac:dyDescent="0.35">
      <c r="A245" s="427">
        <v>44439</v>
      </c>
      <c r="B245" s="379">
        <v>12.9</v>
      </c>
      <c r="C245" s="380">
        <v>18.600000000000001</v>
      </c>
      <c r="D245" s="380">
        <v>13.1</v>
      </c>
      <c r="E245" s="380">
        <v>19</v>
      </c>
      <c r="F245" s="380">
        <v>11.8</v>
      </c>
      <c r="G245" s="381">
        <f>E245-F245</f>
        <v>7.1999999999999993</v>
      </c>
      <c r="H245" s="380">
        <f t="shared" ref="H245" si="16">(B245+C245+2*D245)/4</f>
        <v>14.425000000000001</v>
      </c>
      <c r="I245" s="382">
        <v>14.387986111111147</v>
      </c>
      <c r="J245" s="380">
        <v>15.5</v>
      </c>
      <c r="K245" s="380">
        <v>11.2</v>
      </c>
      <c r="L245" s="382">
        <v>12.994097222222237</v>
      </c>
      <c r="M245" s="383">
        <v>97.4</v>
      </c>
      <c r="N245" s="384">
        <v>73.3</v>
      </c>
      <c r="O245" s="385">
        <v>91.645972222222269</v>
      </c>
      <c r="P245" s="386">
        <v>1012.44976165072</v>
      </c>
      <c r="Q245" s="387">
        <v>1009.30253966224</v>
      </c>
      <c r="R245" s="388">
        <v>1010.8399487116613</v>
      </c>
      <c r="S245" s="389">
        <v>6.1000151614947775</v>
      </c>
      <c r="T245" s="390">
        <v>3.9241168961899167</v>
      </c>
      <c r="U245" s="391">
        <v>1.1679096488533907</v>
      </c>
      <c r="V245" s="392" t="s">
        <v>237</v>
      </c>
      <c r="W245" s="393" t="s">
        <v>213</v>
      </c>
      <c r="X245" s="394">
        <v>3.6</v>
      </c>
      <c r="Y245" s="395">
        <v>5.8</v>
      </c>
      <c r="Z245" s="396">
        <v>0</v>
      </c>
      <c r="AA245" s="397">
        <v>0</v>
      </c>
      <c r="AB245" s="398" t="s">
        <v>227</v>
      </c>
    </row>
    <row r="246" spans="1:28" s="417" customFormat="1" x14ac:dyDescent="0.3">
      <c r="A246" s="428">
        <v>44440</v>
      </c>
      <c r="B246" s="400">
        <v>13.9</v>
      </c>
      <c r="C246" s="401">
        <v>18.899999999999999</v>
      </c>
      <c r="D246" s="401">
        <v>12.5</v>
      </c>
      <c r="E246" s="401">
        <v>19.600000000000001</v>
      </c>
      <c r="F246" s="401">
        <v>11.8</v>
      </c>
      <c r="G246" s="402">
        <f>E246-F246</f>
        <v>7.8000000000000007</v>
      </c>
      <c r="H246" s="402">
        <f t="shared" ref="H246" si="17">(B246+C246+2*D246)/4</f>
        <v>14.45</v>
      </c>
      <c r="I246" s="403">
        <v>14.71664265129683</v>
      </c>
      <c r="J246" s="401">
        <v>16.5</v>
      </c>
      <c r="K246" s="401">
        <v>11</v>
      </c>
      <c r="L246" s="403">
        <v>13.102089337175791</v>
      </c>
      <c r="M246" s="404">
        <v>98.5</v>
      </c>
      <c r="N246" s="405">
        <v>76.599999999999994</v>
      </c>
      <c r="O246" s="406">
        <v>90.329755043227649</v>
      </c>
      <c r="P246" s="407">
        <v>1020.16498961516</v>
      </c>
      <c r="Q246" s="408">
        <v>1011.20861302783</v>
      </c>
      <c r="R246" s="409">
        <v>1015.4584115237051</v>
      </c>
      <c r="S246" s="372">
        <v>9.500023612164</v>
      </c>
      <c r="T246" s="410">
        <v>5.7071570421947637</v>
      </c>
      <c r="U246" s="373">
        <v>1.5276895772436074</v>
      </c>
      <c r="V246" s="374" t="s">
        <v>238</v>
      </c>
      <c r="W246" s="411"/>
      <c r="X246" s="412">
        <v>0</v>
      </c>
      <c r="Y246" s="413">
        <v>0</v>
      </c>
      <c r="Z246" s="414">
        <v>0</v>
      </c>
      <c r="AA246" s="415">
        <v>0</v>
      </c>
      <c r="AB246" s="416" t="s">
        <v>209</v>
      </c>
    </row>
    <row r="247" spans="1:28" s="20" customFormat="1" x14ac:dyDescent="0.3">
      <c r="A247" s="429">
        <v>44441</v>
      </c>
      <c r="B247" s="40">
        <v>13.5</v>
      </c>
      <c r="C247" s="14">
        <v>21.4</v>
      </c>
      <c r="D247" s="14">
        <v>12.7</v>
      </c>
      <c r="E247" s="14">
        <v>23.2</v>
      </c>
      <c r="F247" s="14">
        <v>10</v>
      </c>
      <c r="G247" s="76">
        <f t="shared" ref="G247:G275" si="18">E247-F247</f>
        <v>13.2</v>
      </c>
      <c r="H247" s="76">
        <f t="shared" ref="H247:H275" si="19">(B247+C247+2*D247)/4</f>
        <v>15.074999999999999</v>
      </c>
      <c r="I247" s="78">
        <v>15.537291666666665</v>
      </c>
      <c r="J247" s="30">
        <v>16</v>
      </c>
      <c r="K247" s="30">
        <v>9</v>
      </c>
      <c r="L247" s="83">
        <v>12.135555555555579</v>
      </c>
      <c r="M247" s="114">
        <v>96.3</v>
      </c>
      <c r="N247" s="31">
        <v>54.9</v>
      </c>
      <c r="O247" s="109">
        <v>81.58722222222228</v>
      </c>
      <c r="P247" s="117">
        <v>1023.50133788724</v>
      </c>
      <c r="Q247" s="21">
        <v>1020.0262257632</v>
      </c>
      <c r="R247" s="70">
        <v>1021.6117880885184</v>
      </c>
      <c r="S247" s="71">
        <v>8.5000211266730545</v>
      </c>
      <c r="T247" s="61">
        <v>5.0428696768329164</v>
      </c>
      <c r="U247" s="25">
        <v>1.3204521906939681</v>
      </c>
      <c r="V247" s="218" t="s">
        <v>240</v>
      </c>
      <c r="W247" s="219"/>
      <c r="X247" s="16">
        <v>0</v>
      </c>
      <c r="Y247" s="17">
        <v>0</v>
      </c>
      <c r="Z247" s="18">
        <v>0</v>
      </c>
      <c r="AA247" s="43">
        <v>0</v>
      </c>
      <c r="AB247" s="319" t="s">
        <v>211</v>
      </c>
    </row>
    <row r="248" spans="1:28" s="20" customFormat="1" x14ac:dyDescent="0.3">
      <c r="A248" s="429">
        <v>44442</v>
      </c>
      <c r="B248" s="40">
        <v>9.6999999999999993</v>
      </c>
      <c r="C248" s="14">
        <v>23.6</v>
      </c>
      <c r="D248" s="14">
        <v>12.1</v>
      </c>
      <c r="E248" s="14">
        <v>24.7</v>
      </c>
      <c r="F248" s="14">
        <v>8.3000000000000007</v>
      </c>
      <c r="G248" s="76">
        <f t="shared" si="18"/>
        <v>16.399999999999999</v>
      </c>
      <c r="H248" s="76">
        <f t="shared" si="19"/>
        <v>14.375</v>
      </c>
      <c r="I248" s="78">
        <v>14.969791666666689</v>
      </c>
      <c r="J248" s="30">
        <v>16.2</v>
      </c>
      <c r="K248" s="30">
        <v>7.4</v>
      </c>
      <c r="L248" s="83">
        <v>11.453124999999995</v>
      </c>
      <c r="M248" s="114">
        <v>96.6</v>
      </c>
      <c r="N248" s="31">
        <v>49.1</v>
      </c>
      <c r="O248" s="109">
        <v>81.55013888888881</v>
      </c>
      <c r="P248" s="117">
        <v>1023.55254579711</v>
      </c>
      <c r="Q248" s="21">
        <v>1016.23305294144</v>
      </c>
      <c r="R248" s="70">
        <v>1019.7248516471645</v>
      </c>
      <c r="S248" s="71">
        <v>6.1000151614947775</v>
      </c>
      <c r="T248" s="61">
        <v>3.2000079535710277</v>
      </c>
      <c r="U248" s="25">
        <v>0.87227725453702132</v>
      </c>
      <c r="V248" s="218" t="s">
        <v>303</v>
      </c>
      <c r="W248" s="219"/>
      <c r="X248" s="16">
        <v>0</v>
      </c>
      <c r="Y248" s="17">
        <v>0</v>
      </c>
      <c r="Z248" s="18">
        <v>0</v>
      </c>
      <c r="AA248" s="43">
        <v>0</v>
      </c>
      <c r="AB248" s="319" t="s">
        <v>353</v>
      </c>
    </row>
    <row r="249" spans="1:28" s="20" customFormat="1" x14ac:dyDescent="0.3">
      <c r="A249" s="429">
        <v>44443</v>
      </c>
      <c r="B249" s="40">
        <v>10.8</v>
      </c>
      <c r="C249" s="14">
        <v>25.1</v>
      </c>
      <c r="D249" s="14">
        <v>13.8</v>
      </c>
      <c r="E249" s="14">
        <v>25.7</v>
      </c>
      <c r="F249" s="14">
        <v>9</v>
      </c>
      <c r="G249" s="76">
        <f t="shared" si="18"/>
        <v>16.7</v>
      </c>
      <c r="H249" s="76">
        <f t="shared" si="19"/>
        <v>15.875000000000002</v>
      </c>
      <c r="I249" s="78">
        <v>15.509583333333335</v>
      </c>
      <c r="J249" s="30">
        <v>19.5</v>
      </c>
      <c r="K249" s="30">
        <v>7.7</v>
      </c>
      <c r="L249" s="83">
        <v>12.376944444444444</v>
      </c>
      <c r="M249" s="114">
        <v>96.9</v>
      </c>
      <c r="N249" s="31">
        <v>52.5</v>
      </c>
      <c r="O249" s="109">
        <v>82.98194444444448</v>
      </c>
      <c r="P249" s="117">
        <v>1021.32058467584</v>
      </c>
      <c r="Q249" s="21">
        <v>1016.04053520437</v>
      </c>
      <c r="R249" s="70">
        <v>1017.7170464839263</v>
      </c>
      <c r="S249" s="72">
        <v>6.1000151614947775</v>
      </c>
      <c r="T249" s="62">
        <v>3.9071525683110693</v>
      </c>
      <c r="U249" s="19">
        <v>0.94669754149438334</v>
      </c>
      <c r="V249" s="218" t="s">
        <v>236</v>
      </c>
      <c r="W249" s="220"/>
      <c r="X249" s="16">
        <v>0</v>
      </c>
      <c r="Y249" s="17">
        <v>0</v>
      </c>
      <c r="Z249" s="18">
        <v>0</v>
      </c>
      <c r="AA249" s="43">
        <v>0</v>
      </c>
      <c r="AB249" s="319" t="s">
        <v>390</v>
      </c>
    </row>
    <row r="250" spans="1:28" s="20" customFormat="1" x14ac:dyDescent="0.3">
      <c r="A250" s="429">
        <v>44444</v>
      </c>
      <c r="B250" s="40">
        <v>9.1</v>
      </c>
      <c r="C250" s="14">
        <v>21.2</v>
      </c>
      <c r="D250" s="14">
        <v>7.5</v>
      </c>
      <c r="E250" s="14">
        <v>21.7</v>
      </c>
      <c r="F250" s="14">
        <v>4.4000000000000004</v>
      </c>
      <c r="G250" s="64">
        <f t="shared" si="18"/>
        <v>17.299999999999997</v>
      </c>
      <c r="H250" s="64">
        <f t="shared" si="19"/>
        <v>11.324999999999999</v>
      </c>
      <c r="I250" s="78">
        <v>12.61506944444446</v>
      </c>
      <c r="J250" s="30">
        <v>13.5</v>
      </c>
      <c r="K250" s="30">
        <v>3.3</v>
      </c>
      <c r="L250" s="83">
        <v>7.9264583333333398</v>
      </c>
      <c r="M250" s="114">
        <v>97.2</v>
      </c>
      <c r="N250" s="31">
        <v>45.6</v>
      </c>
      <c r="O250" s="109">
        <v>75.783055555555464</v>
      </c>
      <c r="P250" s="117">
        <v>1026.6487458552499</v>
      </c>
      <c r="Q250" s="21">
        <v>1021.18735465097</v>
      </c>
      <c r="R250" s="70">
        <v>1023.757668552023</v>
      </c>
      <c r="S250" s="71">
        <v>7.5000186411821108</v>
      </c>
      <c r="T250" s="61">
        <v>4.758047540340403</v>
      </c>
      <c r="U250" s="25">
        <v>1.4183339650622826</v>
      </c>
      <c r="V250" s="218" t="s">
        <v>237</v>
      </c>
      <c r="W250" s="220"/>
      <c r="X250" s="16">
        <v>0</v>
      </c>
      <c r="Y250" s="17">
        <v>0</v>
      </c>
      <c r="Z250" s="18">
        <v>0</v>
      </c>
      <c r="AA250" s="43">
        <v>0</v>
      </c>
      <c r="AB250" s="319" t="s">
        <v>272</v>
      </c>
    </row>
    <row r="251" spans="1:28" s="20" customFormat="1" x14ac:dyDescent="0.3">
      <c r="A251" s="429">
        <v>44445</v>
      </c>
      <c r="B251" s="40">
        <v>7.2</v>
      </c>
      <c r="C251" s="14">
        <v>22.9</v>
      </c>
      <c r="D251" s="14">
        <v>8.4</v>
      </c>
      <c r="E251" s="14">
        <v>23.1</v>
      </c>
      <c r="F251" s="14">
        <v>1.9</v>
      </c>
      <c r="G251" s="64">
        <f t="shared" si="18"/>
        <v>21.200000000000003</v>
      </c>
      <c r="H251" s="64">
        <f t="shared" si="19"/>
        <v>11.725</v>
      </c>
      <c r="I251" s="78">
        <v>11.759652777777779</v>
      </c>
      <c r="J251" s="30">
        <v>14.2</v>
      </c>
      <c r="K251" s="30">
        <v>1</v>
      </c>
      <c r="L251" s="83">
        <v>6.9930555555555429</v>
      </c>
      <c r="M251" s="114">
        <v>97.5</v>
      </c>
      <c r="N251" s="31">
        <v>37.299999999999997</v>
      </c>
      <c r="O251" s="109">
        <v>76.090277777777672</v>
      </c>
      <c r="P251" s="117">
        <v>1026.7049333007501</v>
      </c>
      <c r="Q251" s="21">
        <v>1023.88393511591</v>
      </c>
      <c r="R251" s="70">
        <v>1025.5761750939389</v>
      </c>
      <c r="S251" s="71">
        <v>4.8000119303565558</v>
      </c>
      <c r="T251" s="61">
        <v>2.4500060894528208</v>
      </c>
      <c r="U251" s="25">
        <v>0.63632970658779453</v>
      </c>
      <c r="V251" s="218" t="s">
        <v>268</v>
      </c>
      <c r="W251" s="220"/>
      <c r="X251" s="16">
        <v>0</v>
      </c>
      <c r="Y251" s="17">
        <v>0</v>
      </c>
      <c r="Z251" s="18">
        <v>0</v>
      </c>
      <c r="AA251" s="43">
        <v>0</v>
      </c>
      <c r="AB251" s="319" t="s">
        <v>330</v>
      </c>
    </row>
    <row r="252" spans="1:28" s="20" customFormat="1" x14ac:dyDescent="0.3">
      <c r="A252" s="429">
        <v>44446</v>
      </c>
      <c r="B252" s="40">
        <v>5.8</v>
      </c>
      <c r="C252" s="14">
        <v>23.3</v>
      </c>
      <c r="D252" s="14">
        <v>10.5</v>
      </c>
      <c r="E252" s="14">
        <v>23.7</v>
      </c>
      <c r="F252" s="14">
        <v>3.5</v>
      </c>
      <c r="G252" s="64">
        <f t="shared" si="18"/>
        <v>20.2</v>
      </c>
      <c r="H252" s="64">
        <f t="shared" si="19"/>
        <v>12.525</v>
      </c>
      <c r="I252" s="78">
        <v>12.419930555555521</v>
      </c>
      <c r="J252" s="30">
        <v>16.600000000000001</v>
      </c>
      <c r="K252" s="30">
        <v>2.6</v>
      </c>
      <c r="L252" s="83">
        <v>9.0566666666666862</v>
      </c>
      <c r="M252" s="114">
        <v>96.3</v>
      </c>
      <c r="N252" s="31">
        <v>51.3</v>
      </c>
      <c r="O252" s="109">
        <v>82.002847222222343</v>
      </c>
      <c r="P252" s="117">
        <v>1026.58468483516</v>
      </c>
      <c r="Q252" s="21">
        <v>1023.46351162217</v>
      </c>
      <c r="R252" s="70">
        <v>1025.4072465495574</v>
      </c>
      <c r="S252" s="71">
        <v>3.4000084506692221</v>
      </c>
      <c r="T252" s="61">
        <v>1.9428619718109834</v>
      </c>
      <c r="U252" s="25">
        <v>0.6851331513007114</v>
      </c>
      <c r="V252" s="218" t="s">
        <v>303</v>
      </c>
      <c r="W252" s="220"/>
      <c r="X252" s="16">
        <v>0</v>
      </c>
      <c r="Y252" s="17">
        <v>0</v>
      </c>
      <c r="Z252" s="18">
        <v>0</v>
      </c>
      <c r="AA252" s="43">
        <v>0</v>
      </c>
      <c r="AB252" s="319" t="s">
        <v>359</v>
      </c>
    </row>
    <row r="253" spans="1:28" s="20" customFormat="1" x14ac:dyDescent="0.3">
      <c r="A253" s="429">
        <v>44447</v>
      </c>
      <c r="B253" s="40">
        <v>8.6</v>
      </c>
      <c r="C253" s="14">
        <v>24.9</v>
      </c>
      <c r="D253" s="14">
        <v>11.1</v>
      </c>
      <c r="E253" s="14">
        <v>26</v>
      </c>
      <c r="F253" s="14">
        <v>7.7</v>
      </c>
      <c r="G253" s="64">
        <f t="shared" si="18"/>
        <v>18.3</v>
      </c>
      <c r="H253" s="64">
        <f t="shared" si="19"/>
        <v>13.925000000000001</v>
      </c>
      <c r="I253" s="78">
        <v>14.483611111111092</v>
      </c>
      <c r="J253" s="30">
        <v>18.399999999999999</v>
      </c>
      <c r="K253" s="30">
        <v>6.8</v>
      </c>
      <c r="L253" s="83">
        <v>11.007569444444469</v>
      </c>
      <c r="M253" s="114">
        <v>96.4</v>
      </c>
      <c r="N253" s="31">
        <v>50.7</v>
      </c>
      <c r="O253" s="109">
        <v>81.857013888888929</v>
      </c>
      <c r="P253" s="117">
        <v>1026.90104543658</v>
      </c>
      <c r="Q253" s="21">
        <v>1021.74674474515</v>
      </c>
      <c r="R253" s="70">
        <v>1024.4448030294764</v>
      </c>
      <c r="S253" s="71">
        <v>4.1000101905128883</v>
      </c>
      <c r="T253" s="61">
        <v>1.9160761909496182</v>
      </c>
      <c r="U253" s="25">
        <v>0.69891666770228822</v>
      </c>
      <c r="V253" s="218" t="s">
        <v>303</v>
      </c>
      <c r="W253" s="220"/>
      <c r="X253" s="16">
        <v>0</v>
      </c>
      <c r="Y253" s="17">
        <v>0</v>
      </c>
      <c r="Z253" s="18">
        <v>0</v>
      </c>
      <c r="AA253" s="43">
        <v>0</v>
      </c>
      <c r="AB253" s="319" t="s">
        <v>349</v>
      </c>
    </row>
    <row r="254" spans="1:28" s="20" customFormat="1" x14ac:dyDescent="0.3">
      <c r="A254" s="429">
        <v>44448</v>
      </c>
      <c r="B254" s="40">
        <v>9.6</v>
      </c>
      <c r="C254" s="14">
        <v>24.8</v>
      </c>
      <c r="D254" s="14">
        <v>10.8</v>
      </c>
      <c r="E254" s="14">
        <v>25.2</v>
      </c>
      <c r="F254" s="14">
        <v>7.7</v>
      </c>
      <c r="G254" s="64">
        <f t="shared" si="18"/>
        <v>17.5</v>
      </c>
      <c r="H254" s="64">
        <f t="shared" si="19"/>
        <v>14</v>
      </c>
      <c r="I254" s="78">
        <v>14.574166666666654</v>
      </c>
      <c r="J254" s="30">
        <v>17.7</v>
      </c>
      <c r="K254" s="30">
        <v>6.8</v>
      </c>
      <c r="L254" s="83">
        <v>10.962222222222218</v>
      </c>
      <c r="M254" s="114">
        <v>96.2</v>
      </c>
      <c r="N254" s="31">
        <v>50.8</v>
      </c>
      <c r="O254" s="109">
        <v>81.431249999999963</v>
      </c>
      <c r="P254" s="117">
        <v>1023.2094962604</v>
      </c>
      <c r="Q254" s="21">
        <v>1017.90180869089</v>
      </c>
      <c r="R254" s="70">
        <v>1020.7107938070201</v>
      </c>
      <c r="S254" s="71">
        <v>5.8000144158475004</v>
      </c>
      <c r="T254" s="61">
        <v>3.457151449840139</v>
      </c>
      <c r="U254" s="25">
        <v>0.97523803901865636</v>
      </c>
      <c r="V254" s="218" t="s">
        <v>303</v>
      </c>
      <c r="W254" s="220"/>
      <c r="X254" s="16">
        <v>0</v>
      </c>
      <c r="Y254" s="17">
        <v>0</v>
      </c>
      <c r="Z254" s="18">
        <v>0</v>
      </c>
      <c r="AA254" s="43">
        <v>0</v>
      </c>
      <c r="AB254" s="319" t="s">
        <v>349</v>
      </c>
    </row>
    <row r="255" spans="1:28" s="20" customFormat="1" x14ac:dyDescent="0.3">
      <c r="A255" s="429">
        <v>44449</v>
      </c>
      <c r="B255" s="40">
        <v>8</v>
      </c>
      <c r="C255" s="14">
        <v>26.3</v>
      </c>
      <c r="D255" s="14">
        <v>11.2</v>
      </c>
      <c r="E255" s="14">
        <v>26.7</v>
      </c>
      <c r="F255" s="14">
        <v>7.4</v>
      </c>
      <c r="G255" s="64">
        <f t="shared" si="18"/>
        <v>19.299999999999997</v>
      </c>
      <c r="H255" s="64">
        <f t="shared" si="19"/>
        <v>14.174999999999999</v>
      </c>
      <c r="I255" s="78">
        <v>14.685902777777763</v>
      </c>
      <c r="J255" s="30">
        <v>19.399999999999999</v>
      </c>
      <c r="K255" s="30">
        <v>6.5</v>
      </c>
      <c r="L255" s="83">
        <v>10.804375000000043</v>
      </c>
      <c r="M255" s="114">
        <v>95.7</v>
      </c>
      <c r="N255" s="31">
        <v>41.9</v>
      </c>
      <c r="O255" s="109">
        <v>80.49291666666646</v>
      </c>
      <c r="P255" s="117">
        <v>1020.92120740542</v>
      </c>
      <c r="Q255" s="21">
        <v>1016.6313415746999</v>
      </c>
      <c r="R255" s="70">
        <v>1018.9602935825292</v>
      </c>
      <c r="S255" s="71">
        <v>4.4000109361601663</v>
      </c>
      <c r="T255" s="61">
        <v>1.8330402702793875</v>
      </c>
      <c r="U255" s="25">
        <v>0.65747104550993163</v>
      </c>
      <c r="V255" s="218" t="s">
        <v>268</v>
      </c>
      <c r="W255" s="220"/>
      <c r="X255" s="16">
        <v>0</v>
      </c>
      <c r="Y255" s="17">
        <v>0</v>
      </c>
      <c r="Z255" s="18">
        <v>0</v>
      </c>
      <c r="AA255" s="43">
        <v>0</v>
      </c>
      <c r="AB255" s="319" t="s">
        <v>349</v>
      </c>
    </row>
    <row r="256" spans="1:28" s="20" customFormat="1" x14ac:dyDescent="0.3">
      <c r="A256" s="429">
        <v>44450</v>
      </c>
      <c r="B256" s="40">
        <v>8.6</v>
      </c>
      <c r="C256" s="14">
        <v>27.1</v>
      </c>
      <c r="D256" s="14">
        <v>13.4</v>
      </c>
      <c r="E256" s="14">
        <v>27.9</v>
      </c>
      <c r="F256" s="14">
        <v>8.6</v>
      </c>
      <c r="G256" s="64">
        <f t="shared" si="18"/>
        <v>19.299999999999997</v>
      </c>
      <c r="H256" s="64">
        <f t="shared" si="19"/>
        <v>15.625</v>
      </c>
      <c r="I256" s="78">
        <v>15.805138888888887</v>
      </c>
      <c r="J256" s="30">
        <v>17.600000000000001</v>
      </c>
      <c r="K256" s="30">
        <v>7.6</v>
      </c>
      <c r="L256" s="83">
        <v>11.661874999999972</v>
      </c>
      <c r="M256" s="114">
        <v>96.1</v>
      </c>
      <c r="N256" s="31">
        <v>41.3</v>
      </c>
      <c r="O256" s="109">
        <v>79.303194444444287</v>
      </c>
      <c r="P256" s="117">
        <v>1019.44047872181</v>
      </c>
      <c r="Q256" s="21">
        <v>1015.2810175199201</v>
      </c>
      <c r="R256" s="70">
        <v>1017.6656646374124</v>
      </c>
      <c r="S256" s="71">
        <v>3.1000077050219446</v>
      </c>
      <c r="T256" s="61">
        <v>1.3571462303091417</v>
      </c>
      <c r="U256" s="25">
        <v>0.53743313141678328</v>
      </c>
      <c r="V256" s="218" t="s">
        <v>268</v>
      </c>
      <c r="W256" s="220"/>
      <c r="X256" s="16">
        <v>0</v>
      </c>
      <c r="Y256" s="17">
        <v>0</v>
      </c>
      <c r="Z256" s="18">
        <v>0</v>
      </c>
      <c r="AA256" s="43">
        <v>0</v>
      </c>
      <c r="AB256" s="319" t="s">
        <v>512</v>
      </c>
    </row>
    <row r="257" spans="1:28" s="20" customFormat="1" x14ac:dyDescent="0.3">
      <c r="A257" s="429">
        <v>44451</v>
      </c>
      <c r="B257" s="40">
        <v>9.6999999999999993</v>
      </c>
      <c r="C257" s="14">
        <v>28.2</v>
      </c>
      <c r="D257" s="14">
        <v>14.2</v>
      </c>
      <c r="E257" s="14">
        <v>28.5</v>
      </c>
      <c r="F257" s="14">
        <v>9.6999999999999993</v>
      </c>
      <c r="G257" s="64">
        <f t="shared" si="18"/>
        <v>18.8</v>
      </c>
      <c r="H257" s="64">
        <f t="shared" si="19"/>
        <v>16.574999999999999</v>
      </c>
      <c r="I257" s="78">
        <v>16.761249999999979</v>
      </c>
      <c r="J257" s="30">
        <v>18.899999999999999</v>
      </c>
      <c r="K257" s="30">
        <v>8.6</v>
      </c>
      <c r="L257" s="83">
        <v>12.624861111111098</v>
      </c>
      <c r="M257" s="114">
        <v>94.7</v>
      </c>
      <c r="N257" s="31">
        <v>44.8</v>
      </c>
      <c r="O257" s="109">
        <v>79.420833333333277</v>
      </c>
      <c r="P257" s="117">
        <v>1017.83120291532</v>
      </c>
      <c r="Q257" s="21">
        <v>1013.90271762751</v>
      </c>
      <c r="R257" s="70">
        <v>1016.1462269723166</v>
      </c>
      <c r="S257" s="71">
        <v>3.1000077050219446</v>
      </c>
      <c r="T257" s="61">
        <v>1.5142894780291472</v>
      </c>
      <c r="U257" s="25">
        <v>0.49703124528422471</v>
      </c>
      <c r="V257" s="218" t="s">
        <v>268</v>
      </c>
      <c r="W257" s="220"/>
      <c r="X257" s="16">
        <v>0</v>
      </c>
      <c r="Y257" s="17">
        <v>0</v>
      </c>
      <c r="Z257" s="18">
        <v>0</v>
      </c>
      <c r="AA257" s="43">
        <v>0</v>
      </c>
      <c r="AB257" s="319" t="s">
        <v>513</v>
      </c>
    </row>
    <row r="258" spans="1:28" s="20" customFormat="1" x14ac:dyDescent="0.3">
      <c r="A258" s="429">
        <v>44452</v>
      </c>
      <c r="B258" s="40">
        <v>11.2</v>
      </c>
      <c r="C258" s="14">
        <v>23.7</v>
      </c>
      <c r="D258" s="14">
        <v>18.7</v>
      </c>
      <c r="E258" s="14">
        <v>25.537500000000001</v>
      </c>
      <c r="F258" s="14">
        <v>11.3</v>
      </c>
      <c r="G258" s="64">
        <f t="shared" si="18"/>
        <v>14.237500000000001</v>
      </c>
      <c r="H258" s="64">
        <f t="shared" si="19"/>
        <v>18.074999999999999</v>
      </c>
      <c r="I258" s="78">
        <v>17.80064756671899</v>
      </c>
      <c r="J258" s="30">
        <v>20.134185483375798</v>
      </c>
      <c r="K258" s="30">
        <v>10.0469844063342</v>
      </c>
      <c r="L258" s="83">
        <v>14.889936044912787</v>
      </c>
      <c r="M258" s="114">
        <v>95</v>
      </c>
      <c r="N258" s="31">
        <v>62.857142857142897</v>
      </c>
      <c r="O258" s="109">
        <v>83.911433804290965</v>
      </c>
      <c r="P258" s="117">
        <v>1017.59603175162</v>
      </c>
      <c r="Q258" s="21">
        <v>1015.16906641249</v>
      </c>
      <c r="R258" s="70">
        <v>1016.1436644447027</v>
      </c>
      <c r="S258" s="71">
        <v>6.1000151614947775</v>
      </c>
      <c r="T258" s="61">
        <v>3.2160794220878444</v>
      </c>
      <c r="U258" s="25">
        <v>0.63859707861135762</v>
      </c>
      <c r="V258" s="218" t="s">
        <v>236</v>
      </c>
      <c r="W258" s="221" t="s">
        <v>213</v>
      </c>
      <c r="X258" s="26">
        <v>6</v>
      </c>
      <c r="Y258" s="27">
        <v>1.3</v>
      </c>
      <c r="Z258" s="28">
        <v>0</v>
      </c>
      <c r="AA258" s="29">
        <v>0</v>
      </c>
      <c r="AB258" s="320" t="s">
        <v>519</v>
      </c>
    </row>
    <row r="259" spans="1:28" s="20" customFormat="1" x14ac:dyDescent="0.3">
      <c r="A259" s="429">
        <v>44453</v>
      </c>
      <c r="B259" s="40">
        <v>13.8</v>
      </c>
      <c r="C259" s="14">
        <v>25.5</v>
      </c>
      <c r="D259" s="14">
        <v>14.4</v>
      </c>
      <c r="E259" s="14">
        <v>25.8571428571429</v>
      </c>
      <c r="F259" s="14">
        <v>11.9</v>
      </c>
      <c r="G259" s="64">
        <f t="shared" si="18"/>
        <v>13.9571428571429</v>
      </c>
      <c r="H259" s="64">
        <f t="shared" si="19"/>
        <v>17.024999999999999</v>
      </c>
      <c r="I259" s="78">
        <v>17.965517670482843</v>
      </c>
      <c r="J259" s="30">
        <v>17.5029360758952</v>
      </c>
      <c r="K259" s="30">
        <v>10.476867834452401</v>
      </c>
      <c r="L259" s="83">
        <v>13.646693134496509</v>
      </c>
      <c r="M259" s="114">
        <v>99</v>
      </c>
      <c r="N259" s="31">
        <v>48.571428571428598</v>
      </c>
      <c r="O259" s="109">
        <v>78.234880537580906</v>
      </c>
      <c r="P259" s="117">
        <v>1019.52915833295</v>
      </c>
      <c r="Q259" s="21">
        <v>1016.6432411877699</v>
      </c>
      <c r="R259" s="70">
        <v>1018.022420841324</v>
      </c>
      <c r="S259" s="71">
        <v>5.4000134216511109</v>
      </c>
      <c r="T259" s="61">
        <v>2.9723288162494303</v>
      </c>
      <c r="U259" s="25">
        <v>0.90166973735319866</v>
      </c>
      <c r="V259" s="218" t="s">
        <v>237</v>
      </c>
      <c r="W259" s="221"/>
      <c r="X259" s="26">
        <v>0</v>
      </c>
      <c r="Y259" s="27">
        <v>0</v>
      </c>
      <c r="Z259" s="28">
        <v>0</v>
      </c>
      <c r="AA259" s="29">
        <v>0</v>
      </c>
      <c r="AB259" s="320" t="s">
        <v>390</v>
      </c>
    </row>
    <row r="260" spans="1:28" s="20" customFormat="1" x14ac:dyDescent="0.3">
      <c r="A260" s="429">
        <v>44454</v>
      </c>
      <c r="B260" s="40">
        <v>11.5</v>
      </c>
      <c r="C260" s="14">
        <v>25.9</v>
      </c>
      <c r="D260" s="14">
        <v>15.8</v>
      </c>
      <c r="E260" s="14">
        <v>26.2</v>
      </c>
      <c r="F260" s="14">
        <v>10.199999999999999</v>
      </c>
      <c r="G260" s="64">
        <f t="shared" si="18"/>
        <v>16</v>
      </c>
      <c r="H260" s="64">
        <f t="shared" si="19"/>
        <v>17.25</v>
      </c>
      <c r="I260" s="78">
        <v>17.295566716269828</v>
      </c>
      <c r="J260" s="30">
        <v>16.348789383594401</v>
      </c>
      <c r="K260" s="30">
        <v>8.7961329152920396</v>
      </c>
      <c r="L260" s="83">
        <v>13.0481462297059</v>
      </c>
      <c r="M260" s="114">
        <v>99</v>
      </c>
      <c r="N260" s="31">
        <v>50.285714285714299</v>
      </c>
      <c r="O260" s="109">
        <v>78.667782738095241</v>
      </c>
      <c r="P260" s="117">
        <v>1019.57683472285</v>
      </c>
      <c r="Q260" s="21">
        <v>1014.61616220521</v>
      </c>
      <c r="R260" s="70">
        <v>1017.124990379068</v>
      </c>
      <c r="S260" s="71">
        <v>5.1000126760038338</v>
      </c>
      <c r="T260" s="61">
        <v>3.0062574720071669</v>
      </c>
      <c r="U260" s="25">
        <v>0.93311657189252928</v>
      </c>
      <c r="V260" s="218" t="s">
        <v>233</v>
      </c>
      <c r="W260" s="221"/>
      <c r="X260" s="26">
        <v>0</v>
      </c>
      <c r="Y260" s="27">
        <v>0</v>
      </c>
      <c r="Z260" s="28">
        <v>0</v>
      </c>
      <c r="AA260" s="29">
        <v>0</v>
      </c>
      <c r="AB260" s="320" t="s">
        <v>513</v>
      </c>
    </row>
    <row r="261" spans="1:28" s="20" customFormat="1" x14ac:dyDescent="0.3">
      <c r="A261" s="429">
        <v>44455</v>
      </c>
      <c r="B261" s="40">
        <v>13.1</v>
      </c>
      <c r="C261" s="14">
        <v>25.1</v>
      </c>
      <c r="D261" s="14">
        <v>19.5</v>
      </c>
      <c r="E261" s="14">
        <v>25.4</v>
      </c>
      <c r="F261" s="14">
        <v>11.9</v>
      </c>
      <c r="G261" s="64">
        <f t="shared" si="18"/>
        <v>13.499999999999998</v>
      </c>
      <c r="H261" s="64">
        <f t="shared" si="19"/>
        <v>19.3</v>
      </c>
      <c r="I261" s="78">
        <v>18.628608630952378</v>
      </c>
      <c r="J261" s="30">
        <v>17.1925074085324</v>
      </c>
      <c r="K261" s="30">
        <v>10.964476170274899</v>
      </c>
      <c r="L261" s="83">
        <v>14.171058567763479</v>
      </c>
      <c r="M261" s="114">
        <v>99</v>
      </c>
      <c r="N261" s="31">
        <v>54.875</v>
      </c>
      <c r="O261" s="109">
        <v>77.071304563492092</v>
      </c>
      <c r="P261" s="117">
        <v>1015.87647831135</v>
      </c>
      <c r="Q261" s="21">
        <v>1011.12197401322</v>
      </c>
      <c r="R261" s="70">
        <v>1013.3603395254338</v>
      </c>
      <c r="S261" s="71">
        <v>6.8000169013384442</v>
      </c>
      <c r="T261" s="61">
        <v>4.3794751708331248</v>
      </c>
      <c r="U261" s="25">
        <v>1.2111947266758862</v>
      </c>
      <c r="V261" s="218" t="s">
        <v>233</v>
      </c>
      <c r="W261" s="221"/>
      <c r="X261" s="26">
        <v>0</v>
      </c>
      <c r="Y261" s="27">
        <v>0</v>
      </c>
      <c r="Z261" s="28">
        <v>0</v>
      </c>
      <c r="AA261" s="29">
        <v>0</v>
      </c>
      <c r="AB261" s="320" t="s">
        <v>209</v>
      </c>
    </row>
    <row r="262" spans="1:28" s="20" customFormat="1" x14ac:dyDescent="0.3">
      <c r="A262" s="429">
        <v>44456</v>
      </c>
      <c r="B262" s="40">
        <v>14.8</v>
      </c>
      <c r="C262" s="14">
        <v>14.8</v>
      </c>
      <c r="D262" s="14">
        <v>13</v>
      </c>
      <c r="E262" s="14">
        <v>17.157142857142901</v>
      </c>
      <c r="F262" s="14">
        <v>12.7</v>
      </c>
      <c r="G262" s="64">
        <f t="shared" si="18"/>
        <v>4.4571428571429017</v>
      </c>
      <c r="H262" s="64">
        <f t="shared" si="19"/>
        <v>13.9</v>
      </c>
      <c r="I262" s="78">
        <v>14.614013070263074</v>
      </c>
      <c r="J262" s="30">
        <v>16.9982216721654</v>
      </c>
      <c r="K262" s="30">
        <v>11.8960686977791</v>
      </c>
      <c r="L262" s="83">
        <v>13.924797526897651</v>
      </c>
      <c r="M262" s="114">
        <v>99</v>
      </c>
      <c r="N262" s="31">
        <v>89</v>
      </c>
      <c r="O262" s="109">
        <v>95.667644855144843</v>
      </c>
      <c r="P262" s="117">
        <v>1011.39817594687</v>
      </c>
      <c r="Q262" s="21">
        <v>1007.06174167901</v>
      </c>
      <c r="R262" s="70">
        <v>1009.2238361873148</v>
      </c>
      <c r="S262" s="71">
        <v>7.5000186411821108</v>
      </c>
      <c r="T262" s="61">
        <v>4.3884037644535692</v>
      </c>
      <c r="U262" s="25">
        <v>0.75597715369497631</v>
      </c>
      <c r="V262" s="218" t="s">
        <v>240</v>
      </c>
      <c r="W262" s="221" t="s">
        <v>213</v>
      </c>
      <c r="X262" s="26">
        <v>14.4</v>
      </c>
      <c r="Y262" s="27">
        <v>19.2</v>
      </c>
      <c r="Z262" s="28">
        <v>0</v>
      </c>
      <c r="AA262" s="29">
        <v>0</v>
      </c>
      <c r="AB262" s="320" t="s">
        <v>212</v>
      </c>
    </row>
    <row r="263" spans="1:28" s="20" customFormat="1" x14ac:dyDescent="0.3">
      <c r="A263" s="429">
        <v>44457</v>
      </c>
      <c r="B263" s="40">
        <v>12.6</v>
      </c>
      <c r="C263" s="14">
        <v>19.899999999999999</v>
      </c>
      <c r="D263" s="14">
        <v>11</v>
      </c>
      <c r="E263" s="14">
        <v>21.5</v>
      </c>
      <c r="F263" s="14">
        <v>10.9</v>
      </c>
      <c r="G263" s="64">
        <f t="shared" si="18"/>
        <v>10.6</v>
      </c>
      <c r="H263" s="64">
        <f t="shared" si="19"/>
        <v>13.625</v>
      </c>
      <c r="I263" s="78">
        <v>14.524722222222183</v>
      </c>
      <c r="J263" s="30">
        <v>16.100000000000001</v>
      </c>
      <c r="K263" s="30">
        <v>9.6999999999999993</v>
      </c>
      <c r="L263" s="83">
        <v>11.762222222222203</v>
      </c>
      <c r="M263" s="114">
        <v>98.1</v>
      </c>
      <c r="N263" s="31">
        <v>55.5</v>
      </c>
      <c r="O263" s="109">
        <v>84.566111111111155</v>
      </c>
      <c r="P263" s="117">
        <v>1010.82463602418</v>
      </c>
      <c r="Q263" s="21">
        <v>1009.62345499925</v>
      </c>
      <c r="R263" s="70">
        <v>1010.1222893528096</v>
      </c>
      <c r="S263" s="71">
        <v>7.5000186411821108</v>
      </c>
      <c r="T263" s="61">
        <v>4.6428686826365411</v>
      </c>
      <c r="U263" s="25">
        <v>1.1836834975828603</v>
      </c>
      <c r="V263" s="218" t="s">
        <v>238</v>
      </c>
      <c r="W263" s="221" t="s">
        <v>213</v>
      </c>
      <c r="X263" s="26">
        <v>3.6</v>
      </c>
      <c r="Y263" s="27">
        <v>2.9</v>
      </c>
      <c r="Z263" s="28">
        <v>0</v>
      </c>
      <c r="AA263" s="29">
        <v>0</v>
      </c>
      <c r="AB263" s="320" t="s">
        <v>209</v>
      </c>
    </row>
    <row r="264" spans="1:28" s="20" customFormat="1" x14ac:dyDescent="0.3">
      <c r="A264" s="429">
        <v>44458</v>
      </c>
      <c r="B264" s="40">
        <v>8.5</v>
      </c>
      <c r="C264" s="14">
        <v>15</v>
      </c>
      <c r="D264" s="14">
        <v>10.1</v>
      </c>
      <c r="E264" s="14">
        <v>16.100000000000001</v>
      </c>
      <c r="F264" s="14">
        <v>8.1999999999999993</v>
      </c>
      <c r="G264" s="64">
        <f t="shared" si="18"/>
        <v>7.9000000000000021</v>
      </c>
      <c r="H264" s="64">
        <f t="shared" si="19"/>
        <v>10.925000000000001</v>
      </c>
      <c r="I264" s="78">
        <v>10.94611111111112</v>
      </c>
      <c r="J264" s="30">
        <v>12.7</v>
      </c>
      <c r="K264" s="30">
        <v>7.3</v>
      </c>
      <c r="L264" s="83">
        <v>9.0511111111111031</v>
      </c>
      <c r="M264" s="114">
        <v>95.6</v>
      </c>
      <c r="N264" s="31">
        <v>70.2</v>
      </c>
      <c r="O264" s="109">
        <v>88.367013888889076</v>
      </c>
      <c r="P264" s="117">
        <v>1014.07515479776</v>
      </c>
      <c r="Q264" s="21">
        <v>1010.25741128933</v>
      </c>
      <c r="R264" s="70">
        <v>1012.5020037350349</v>
      </c>
      <c r="S264" s="71">
        <v>7.8000193868293888</v>
      </c>
      <c r="T264" s="61">
        <v>4.7910833367360972</v>
      </c>
      <c r="U264" s="25">
        <v>1.6929208743957156</v>
      </c>
      <c r="V264" s="218" t="s">
        <v>237</v>
      </c>
      <c r="W264" s="221" t="s">
        <v>213</v>
      </c>
      <c r="X264" s="26">
        <v>1.2</v>
      </c>
      <c r="Y264" s="27">
        <v>0.1</v>
      </c>
      <c r="Z264" s="28">
        <v>0</v>
      </c>
      <c r="AA264" s="29">
        <v>0</v>
      </c>
      <c r="AB264" s="320" t="s">
        <v>520</v>
      </c>
    </row>
    <row r="265" spans="1:28" s="20" customFormat="1" x14ac:dyDescent="0.3">
      <c r="A265" s="429">
        <v>44459</v>
      </c>
      <c r="B265" s="40">
        <v>9.1999999999999993</v>
      </c>
      <c r="C265" s="14">
        <v>12.4</v>
      </c>
      <c r="D265" s="14">
        <v>8.1</v>
      </c>
      <c r="E265" s="14">
        <v>15.2</v>
      </c>
      <c r="F265" s="14">
        <v>7.7</v>
      </c>
      <c r="G265" s="64">
        <f t="shared" si="18"/>
        <v>7.4999999999999991</v>
      </c>
      <c r="H265" s="64">
        <f t="shared" si="19"/>
        <v>9.4499999999999993</v>
      </c>
      <c r="I265" s="78">
        <v>9.9007638888888838</v>
      </c>
      <c r="J265" s="30">
        <v>11.3</v>
      </c>
      <c r="K265" s="30">
        <v>5.9</v>
      </c>
      <c r="L265" s="83">
        <v>7.8165277777777415</v>
      </c>
      <c r="M265" s="114">
        <v>93.6</v>
      </c>
      <c r="N265" s="31">
        <v>70.599999999999994</v>
      </c>
      <c r="O265" s="109">
        <v>87.09749999999967</v>
      </c>
      <c r="P265" s="117">
        <v>1021.78355313313</v>
      </c>
      <c r="Q265" s="21">
        <v>1013.7700926151</v>
      </c>
      <c r="R265" s="70">
        <v>1016.7267675783017</v>
      </c>
      <c r="S265" s="71">
        <v>7.8000193868293888</v>
      </c>
      <c r="T265" s="61">
        <v>4.3035821250592505</v>
      </c>
      <c r="U265" s="25">
        <v>1.5194358201853815</v>
      </c>
      <c r="V265" s="218" t="s">
        <v>240</v>
      </c>
      <c r="W265" s="221"/>
      <c r="X265" s="26">
        <v>0</v>
      </c>
      <c r="Y265" s="27">
        <v>0</v>
      </c>
      <c r="Z265" s="28">
        <v>0</v>
      </c>
      <c r="AA265" s="29">
        <v>0</v>
      </c>
      <c r="AB265" s="320" t="s">
        <v>209</v>
      </c>
    </row>
    <row r="266" spans="1:28" s="20" customFormat="1" x14ac:dyDescent="0.3">
      <c r="A266" s="429">
        <v>44460</v>
      </c>
      <c r="B266" s="40">
        <v>5</v>
      </c>
      <c r="C266" s="14">
        <v>17.5</v>
      </c>
      <c r="D266" s="14">
        <v>8.9</v>
      </c>
      <c r="E266" s="14">
        <v>17.7</v>
      </c>
      <c r="F266" s="14">
        <v>2.7</v>
      </c>
      <c r="G266" s="64">
        <f t="shared" si="18"/>
        <v>15</v>
      </c>
      <c r="H266" s="64">
        <f t="shared" si="19"/>
        <v>10.074999999999999</v>
      </c>
      <c r="I266" s="78">
        <v>10.095069444444437</v>
      </c>
      <c r="J266" s="30">
        <v>11.4</v>
      </c>
      <c r="K266" s="30">
        <v>1.7</v>
      </c>
      <c r="L266" s="83">
        <v>6.8695138888888829</v>
      </c>
      <c r="M266" s="114">
        <v>96.5</v>
      </c>
      <c r="N266" s="31">
        <v>53.3</v>
      </c>
      <c r="O266" s="109">
        <v>81.778750000000002</v>
      </c>
      <c r="P266" s="117">
        <v>1024.34779459059</v>
      </c>
      <c r="Q266" s="21">
        <v>1021.8505421901</v>
      </c>
      <c r="R266" s="70">
        <v>1023.3337264144042</v>
      </c>
      <c r="S266" s="71">
        <v>9.2000228665167221</v>
      </c>
      <c r="T266" s="61">
        <v>4.425010998297445</v>
      </c>
      <c r="U266" s="25">
        <v>1.2308500334653596</v>
      </c>
      <c r="V266" s="218" t="s">
        <v>238</v>
      </c>
      <c r="W266" s="221" t="s">
        <v>213</v>
      </c>
      <c r="X266" s="26">
        <v>2.4</v>
      </c>
      <c r="Y266" s="27">
        <v>2.4</v>
      </c>
      <c r="Z266" s="28">
        <v>0</v>
      </c>
      <c r="AA266" s="29">
        <v>0</v>
      </c>
      <c r="AB266" s="320" t="s">
        <v>211</v>
      </c>
    </row>
    <row r="267" spans="1:28" s="20" customFormat="1" x14ac:dyDescent="0.3">
      <c r="A267" s="429">
        <v>44461</v>
      </c>
      <c r="B267" s="40">
        <v>9</v>
      </c>
      <c r="C267" s="14">
        <v>12.7</v>
      </c>
      <c r="D267" s="14">
        <v>6.2</v>
      </c>
      <c r="E267" s="14">
        <v>13.8</v>
      </c>
      <c r="F267" s="14">
        <v>4.7</v>
      </c>
      <c r="G267" s="64">
        <f t="shared" si="18"/>
        <v>9.1000000000000014</v>
      </c>
      <c r="H267" s="64">
        <f t="shared" si="19"/>
        <v>8.5250000000000004</v>
      </c>
      <c r="I267" s="78">
        <v>9.1734027777777758</v>
      </c>
      <c r="J267" s="30">
        <v>12</v>
      </c>
      <c r="K267" s="30">
        <v>3.7</v>
      </c>
      <c r="L267" s="83">
        <v>7.6203472222221977</v>
      </c>
      <c r="M267" s="114">
        <v>96.6</v>
      </c>
      <c r="N267" s="31">
        <v>72.7</v>
      </c>
      <c r="O267" s="109">
        <v>90.301041666666535</v>
      </c>
      <c r="P267" s="117">
        <v>1022.8296043440801</v>
      </c>
      <c r="Q267" s="21">
        <v>1020.03983736332</v>
      </c>
      <c r="R267" s="70">
        <v>1021.0536064580215</v>
      </c>
      <c r="S267" s="71">
        <v>6.1000151614947775</v>
      </c>
      <c r="T267" s="61">
        <v>3.2500080778455835</v>
      </c>
      <c r="U267" s="25">
        <v>0.79804885853828345</v>
      </c>
      <c r="V267" s="218" t="s">
        <v>240</v>
      </c>
      <c r="W267" s="221" t="s">
        <v>213</v>
      </c>
      <c r="X267" s="26">
        <v>1.2</v>
      </c>
      <c r="Y267" s="27">
        <v>0.4</v>
      </c>
      <c r="Z267" s="28">
        <v>0</v>
      </c>
      <c r="AA267" s="29">
        <v>0</v>
      </c>
      <c r="AB267" s="320" t="s">
        <v>209</v>
      </c>
    </row>
    <row r="268" spans="1:28" s="20" customFormat="1" x14ac:dyDescent="0.3">
      <c r="A268" s="429">
        <v>44462</v>
      </c>
      <c r="B268" s="40">
        <v>7.4</v>
      </c>
      <c r="C268" s="14">
        <v>15.7</v>
      </c>
      <c r="D268" s="14">
        <v>9.8000000000000007</v>
      </c>
      <c r="E268" s="14">
        <v>17</v>
      </c>
      <c r="F268" s="14">
        <v>5.3</v>
      </c>
      <c r="G268" s="64">
        <f t="shared" si="18"/>
        <v>11.7</v>
      </c>
      <c r="H268" s="64">
        <f t="shared" si="19"/>
        <v>10.675000000000001</v>
      </c>
      <c r="I268" s="78">
        <v>10.94069444444442</v>
      </c>
      <c r="J268" s="30">
        <v>11</v>
      </c>
      <c r="K268" s="30">
        <v>4.5999999999999996</v>
      </c>
      <c r="L268" s="83">
        <v>7.7490277777777683</v>
      </c>
      <c r="M268" s="114">
        <v>97.2</v>
      </c>
      <c r="N268" s="31">
        <v>59.2</v>
      </c>
      <c r="O268" s="109">
        <v>81.87548611111113</v>
      </c>
      <c r="P268" s="117">
        <v>1021.66805552142</v>
      </c>
      <c r="Q268" s="21">
        <v>1009.74336126121</v>
      </c>
      <c r="R268" s="70">
        <v>1017.341430982843</v>
      </c>
      <c r="S268" s="71">
        <v>6.1000151614947775</v>
      </c>
      <c r="T268" s="61">
        <v>4.1357245649946943</v>
      </c>
      <c r="U268" s="25">
        <v>1.2034524785966676</v>
      </c>
      <c r="V268" s="218" t="s">
        <v>242</v>
      </c>
      <c r="W268" s="221" t="s">
        <v>213</v>
      </c>
      <c r="X268" s="26">
        <v>2.4</v>
      </c>
      <c r="Y268" s="27">
        <v>0.7</v>
      </c>
      <c r="Z268" s="28">
        <v>0</v>
      </c>
      <c r="AA268" s="29">
        <v>0</v>
      </c>
      <c r="AB268" s="320" t="s">
        <v>209</v>
      </c>
    </row>
    <row r="269" spans="1:28" s="20" customFormat="1" x14ac:dyDescent="0.3">
      <c r="A269" s="429">
        <v>44463</v>
      </c>
      <c r="B269" s="40">
        <v>11.1</v>
      </c>
      <c r="C269" s="14">
        <v>18</v>
      </c>
      <c r="D269" s="14">
        <v>7.2</v>
      </c>
      <c r="E269" s="14">
        <v>19.100000000000001</v>
      </c>
      <c r="F269" s="14">
        <v>5</v>
      </c>
      <c r="G269" s="64">
        <f t="shared" si="18"/>
        <v>14.100000000000001</v>
      </c>
      <c r="H269" s="64">
        <f t="shared" si="19"/>
        <v>10.875</v>
      </c>
      <c r="I269" s="78">
        <v>12.245208333333325</v>
      </c>
      <c r="J269" s="30">
        <v>14.2</v>
      </c>
      <c r="K269" s="30">
        <v>4</v>
      </c>
      <c r="L269" s="83">
        <v>9.0999305555555878</v>
      </c>
      <c r="M269" s="114">
        <v>95.4</v>
      </c>
      <c r="N269" s="31">
        <v>55.2</v>
      </c>
      <c r="O269" s="109">
        <v>82.3211805555555</v>
      </c>
      <c r="P269" s="117">
        <v>1016.62832162736</v>
      </c>
      <c r="Q269" s="21">
        <v>1006.971383481</v>
      </c>
      <c r="R269" s="70">
        <v>1010.7535533542598</v>
      </c>
      <c r="S269" s="71">
        <v>8.8000218723203325</v>
      </c>
      <c r="T269" s="61">
        <v>5.5526923725608892</v>
      </c>
      <c r="U269" s="25">
        <v>1.7162803074552304</v>
      </c>
      <c r="V269" s="218" t="s">
        <v>237</v>
      </c>
      <c r="W269" s="221" t="s">
        <v>213</v>
      </c>
      <c r="X269" s="26">
        <v>1.2</v>
      </c>
      <c r="Y269" s="27">
        <v>0.1</v>
      </c>
      <c r="Z269" s="28">
        <v>0</v>
      </c>
      <c r="AA269" s="29">
        <v>0</v>
      </c>
      <c r="AB269" s="320" t="s">
        <v>209</v>
      </c>
    </row>
    <row r="270" spans="1:28" s="20" customFormat="1" x14ac:dyDescent="0.3">
      <c r="A270" s="429">
        <v>44464</v>
      </c>
      <c r="B270" s="40">
        <v>9.1</v>
      </c>
      <c r="C270" s="14">
        <v>17.399999999999999</v>
      </c>
      <c r="D270" s="14">
        <v>13.4</v>
      </c>
      <c r="E270" s="14">
        <v>18.600000000000001</v>
      </c>
      <c r="F270" s="14">
        <v>5.7</v>
      </c>
      <c r="G270" s="64">
        <f t="shared" si="18"/>
        <v>12.900000000000002</v>
      </c>
      <c r="H270" s="64">
        <f t="shared" si="19"/>
        <v>13.324999999999999</v>
      </c>
      <c r="I270" s="78">
        <v>12.76180555555551</v>
      </c>
      <c r="J270" s="30">
        <v>15.2</v>
      </c>
      <c r="K270" s="30">
        <v>5</v>
      </c>
      <c r="L270" s="83">
        <v>10.923194444444407</v>
      </c>
      <c r="M270" s="114">
        <v>95.9</v>
      </c>
      <c r="N270" s="31">
        <v>71.900000000000006</v>
      </c>
      <c r="O270" s="109">
        <v>89.063055555555565</v>
      </c>
      <c r="P270" s="117">
        <v>1020.90522982655</v>
      </c>
      <c r="Q270" s="21">
        <v>1016.4465323465899</v>
      </c>
      <c r="R270" s="70">
        <v>1018.4945751482699</v>
      </c>
      <c r="S270" s="71">
        <v>3.1000077050219446</v>
      </c>
      <c r="T270" s="61">
        <v>1.7928615989873404</v>
      </c>
      <c r="U270" s="25">
        <v>0.70535889601593615</v>
      </c>
      <c r="V270" s="218" t="s">
        <v>236</v>
      </c>
      <c r="W270" s="221"/>
      <c r="X270" s="26">
        <v>0</v>
      </c>
      <c r="Y270" s="27">
        <v>0</v>
      </c>
      <c r="Z270" s="28">
        <v>0</v>
      </c>
      <c r="AA270" s="29">
        <v>0</v>
      </c>
      <c r="AB270" s="320" t="s">
        <v>209</v>
      </c>
    </row>
    <row r="271" spans="1:28" s="20" customFormat="1" x14ac:dyDescent="0.3">
      <c r="A271" s="429">
        <v>44465</v>
      </c>
      <c r="B271" s="40">
        <v>10.3</v>
      </c>
      <c r="C271" s="14">
        <v>23.4</v>
      </c>
      <c r="D271" s="14">
        <v>12.4</v>
      </c>
      <c r="E271" s="14">
        <v>24.2</v>
      </c>
      <c r="F271" s="14">
        <v>8.6</v>
      </c>
      <c r="G271" s="64">
        <f t="shared" si="18"/>
        <v>15.6</v>
      </c>
      <c r="H271" s="64">
        <f t="shared" si="19"/>
        <v>14.625</v>
      </c>
      <c r="I271" s="78">
        <v>14.991649122807022</v>
      </c>
      <c r="J271" s="30">
        <v>18.399999999999999</v>
      </c>
      <c r="K271" s="30">
        <v>7.9</v>
      </c>
      <c r="L271" s="83">
        <v>12.520070175438596</v>
      </c>
      <c r="M271" s="114">
        <v>97.6</v>
      </c>
      <c r="N271" s="31">
        <v>61.6</v>
      </c>
      <c r="O271" s="109">
        <v>86.389052631579077</v>
      </c>
      <c r="P271" s="117">
        <v>1022.50877335724</v>
      </c>
      <c r="Q271" s="21">
        <v>1019.10942187374</v>
      </c>
      <c r="R271" s="70">
        <v>1020.7672056491881</v>
      </c>
      <c r="S271" s="71">
        <v>3.7000091963165</v>
      </c>
      <c r="T271" s="61">
        <v>1.8714332228473445</v>
      </c>
      <c r="U271" s="25">
        <v>0.57803963115314405</v>
      </c>
      <c r="V271" s="218" t="s">
        <v>268</v>
      </c>
      <c r="W271" s="221"/>
      <c r="X271" s="26">
        <v>0</v>
      </c>
      <c r="Y271" s="27">
        <v>0</v>
      </c>
      <c r="Z271" s="28">
        <v>0</v>
      </c>
      <c r="AA271" s="29">
        <v>0</v>
      </c>
      <c r="AB271" s="320" t="s">
        <v>462</v>
      </c>
    </row>
    <row r="272" spans="1:28" s="20" customFormat="1" x14ac:dyDescent="0.3">
      <c r="A272" s="429">
        <v>44466</v>
      </c>
      <c r="B272" s="40">
        <v>11.8</v>
      </c>
      <c r="C272" s="14">
        <v>24.8</v>
      </c>
      <c r="D272" s="14">
        <v>12.5</v>
      </c>
      <c r="E272" s="14">
        <v>25.4</v>
      </c>
      <c r="F272" s="14">
        <v>8.9</v>
      </c>
      <c r="G272" s="64">
        <f t="shared" si="18"/>
        <v>16.5</v>
      </c>
      <c r="H272" s="64">
        <f t="shared" si="19"/>
        <v>15.4</v>
      </c>
      <c r="I272" s="78">
        <v>15.383402777777787</v>
      </c>
      <c r="J272" s="30">
        <v>18.7</v>
      </c>
      <c r="K272" s="30">
        <v>8</v>
      </c>
      <c r="L272" s="83">
        <v>13.040763888888891</v>
      </c>
      <c r="M272" s="114">
        <v>97.1</v>
      </c>
      <c r="N272" s="31">
        <v>57.4</v>
      </c>
      <c r="O272" s="109">
        <v>86.987569444444475</v>
      </c>
      <c r="P272" s="117">
        <v>1020.36632035586</v>
      </c>
      <c r="Q272" s="21">
        <v>1016.06179095069</v>
      </c>
      <c r="R272" s="70">
        <v>1018.0631503874577</v>
      </c>
      <c r="S272" s="71">
        <v>4.4000109361601663</v>
      </c>
      <c r="T272" s="61">
        <v>2.8928643330273749</v>
      </c>
      <c r="U272" s="25">
        <v>0.54188916101069562</v>
      </c>
      <c r="V272" s="218" t="s">
        <v>235</v>
      </c>
      <c r="W272" s="221"/>
      <c r="X272" s="26">
        <v>0</v>
      </c>
      <c r="Y272" s="27">
        <v>0</v>
      </c>
      <c r="Z272" s="28">
        <v>0</v>
      </c>
      <c r="AA272" s="29">
        <v>0</v>
      </c>
      <c r="AB272" s="320" t="s">
        <v>333</v>
      </c>
    </row>
    <row r="273" spans="1:28" s="20" customFormat="1" x14ac:dyDescent="0.3">
      <c r="A273" s="429">
        <v>44467</v>
      </c>
      <c r="B273" s="40">
        <v>7.3</v>
      </c>
      <c r="C273" s="14">
        <v>16</v>
      </c>
      <c r="D273" s="14">
        <v>8.1</v>
      </c>
      <c r="E273" s="14">
        <v>16.3</v>
      </c>
      <c r="F273" s="14">
        <v>5.4</v>
      </c>
      <c r="G273" s="64">
        <f t="shared" si="18"/>
        <v>10.9</v>
      </c>
      <c r="H273" s="64">
        <f t="shared" si="19"/>
        <v>9.875</v>
      </c>
      <c r="I273" s="78">
        <v>10.717777777777769</v>
      </c>
      <c r="J273" s="30">
        <v>12.8</v>
      </c>
      <c r="K273" s="30">
        <v>4.5999999999999996</v>
      </c>
      <c r="L273" s="83">
        <v>8.8836805555555536</v>
      </c>
      <c r="M273" s="114">
        <v>98.6</v>
      </c>
      <c r="N273" s="31">
        <v>74.400000000000006</v>
      </c>
      <c r="O273" s="109">
        <v>88.845625000000013</v>
      </c>
      <c r="P273" s="117">
        <v>1022.46132888999</v>
      </c>
      <c r="Q273" s="21">
        <v>1017.65092749954</v>
      </c>
      <c r="R273" s="70">
        <v>1019.9598981436803</v>
      </c>
      <c r="S273" s="71">
        <v>7.8000193868293888</v>
      </c>
      <c r="T273" s="61">
        <v>3.8616167408467357</v>
      </c>
      <c r="U273" s="25">
        <v>1.1227210444743101</v>
      </c>
      <c r="V273" s="218" t="s">
        <v>240</v>
      </c>
      <c r="W273" s="221"/>
      <c r="X273" s="26">
        <v>0</v>
      </c>
      <c r="Y273" s="27">
        <v>0</v>
      </c>
      <c r="Z273" s="28">
        <v>0</v>
      </c>
      <c r="AA273" s="29">
        <v>0</v>
      </c>
      <c r="AB273" s="320" t="s">
        <v>333</v>
      </c>
    </row>
    <row r="274" spans="1:28" s="20" customFormat="1" x14ac:dyDescent="0.3">
      <c r="A274" s="429">
        <v>44468</v>
      </c>
      <c r="B274" s="40">
        <v>8.4</v>
      </c>
      <c r="C274" s="14">
        <v>17.100000000000001</v>
      </c>
      <c r="D274" s="14">
        <v>12.1</v>
      </c>
      <c r="E274" s="14">
        <v>17.8</v>
      </c>
      <c r="F274" s="14">
        <v>4.5</v>
      </c>
      <c r="G274" s="64">
        <f t="shared" si="18"/>
        <v>13.3</v>
      </c>
      <c r="H274" s="64">
        <f t="shared" si="19"/>
        <v>12.425000000000001</v>
      </c>
      <c r="I274" s="78">
        <v>11.83111111111106</v>
      </c>
      <c r="J274" s="30">
        <v>14.1</v>
      </c>
      <c r="K274" s="30">
        <v>3.7</v>
      </c>
      <c r="L274" s="83">
        <v>10.036666666666644</v>
      </c>
      <c r="M274" s="114">
        <v>97</v>
      </c>
      <c r="N274" s="31">
        <v>73.400000000000006</v>
      </c>
      <c r="O274" s="109">
        <v>89.260347222222052</v>
      </c>
      <c r="P274" s="117">
        <v>1022.86346973229</v>
      </c>
      <c r="Q274" s="21">
        <v>1020.4131204154201</v>
      </c>
      <c r="R274" s="70">
        <v>1021.7348440454253</v>
      </c>
      <c r="S274" s="71">
        <v>5.4000134216511109</v>
      </c>
      <c r="T274" s="61">
        <v>3.3232225455333055</v>
      </c>
      <c r="U274" s="25">
        <v>0.67260211817089177</v>
      </c>
      <c r="V274" s="218" t="s">
        <v>242</v>
      </c>
      <c r="W274" s="221" t="s">
        <v>213</v>
      </c>
      <c r="X274" s="26">
        <v>2.4</v>
      </c>
      <c r="Y274" s="27">
        <v>1.1000000000000001</v>
      </c>
      <c r="Z274" s="28">
        <v>0</v>
      </c>
      <c r="AA274" s="29">
        <v>0</v>
      </c>
      <c r="AB274" s="320" t="s">
        <v>209</v>
      </c>
    </row>
    <row r="275" spans="1:28" s="315" customFormat="1" ht="15" thickBot="1" x14ac:dyDescent="0.35">
      <c r="A275" s="430">
        <v>44469</v>
      </c>
      <c r="B275" s="41">
        <v>11.1</v>
      </c>
      <c r="C275" s="22">
        <v>11.8</v>
      </c>
      <c r="D275" s="22">
        <v>10</v>
      </c>
      <c r="E275" s="22">
        <v>13.7</v>
      </c>
      <c r="F275" s="22">
        <v>9.1999999999999993</v>
      </c>
      <c r="G275" s="314">
        <f t="shared" si="18"/>
        <v>4.5</v>
      </c>
      <c r="H275" s="314">
        <f t="shared" si="19"/>
        <v>10.725</v>
      </c>
      <c r="I275" s="79">
        <v>11.351041666666664</v>
      </c>
      <c r="J275" s="22">
        <v>12.5</v>
      </c>
      <c r="K275" s="22">
        <v>8.6</v>
      </c>
      <c r="L275" s="79">
        <v>10.450763888888924</v>
      </c>
      <c r="M275" s="85">
        <v>96.4</v>
      </c>
      <c r="N275" s="67">
        <v>89.3</v>
      </c>
      <c r="O275" s="81">
        <v>94.232430555555609</v>
      </c>
      <c r="P275" s="118">
        <v>1028.9277831844399</v>
      </c>
      <c r="Q275" s="68">
        <v>1022.7207960985201</v>
      </c>
      <c r="R275" s="69">
        <v>1025.7883931090005</v>
      </c>
      <c r="S275" s="73">
        <v>6.5000161556911662</v>
      </c>
      <c r="T275" s="63">
        <v>3.6437590565076388</v>
      </c>
      <c r="U275" s="42">
        <v>0.96761773238008941</v>
      </c>
      <c r="V275" s="222" t="s">
        <v>232</v>
      </c>
      <c r="W275" s="223" t="s">
        <v>213</v>
      </c>
      <c r="X275" s="44">
        <v>4.8</v>
      </c>
      <c r="Y275" s="45">
        <v>14.2</v>
      </c>
      <c r="Z275" s="46">
        <v>0</v>
      </c>
      <c r="AA275" s="47">
        <v>0</v>
      </c>
      <c r="AB275" s="321" t="s">
        <v>212</v>
      </c>
    </row>
    <row r="276" spans="1:28" s="34" customFormat="1" x14ac:dyDescent="0.3">
      <c r="A276" s="39">
        <v>44470</v>
      </c>
      <c r="B276" s="75">
        <v>9.1</v>
      </c>
      <c r="C276" s="30">
        <v>14.4</v>
      </c>
      <c r="D276" s="30">
        <v>7.1</v>
      </c>
      <c r="E276" s="30">
        <v>15.3</v>
      </c>
      <c r="F276" s="30">
        <v>6.3</v>
      </c>
      <c r="G276" s="76">
        <f>E276-F276</f>
        <v>9</v>
      </c>
      <c r="H276" s="76">
        <f>(B276+C276+2*D276)/4</f>
        <v>9.4250000000000007</v>
      </c>
      <c r="I276" s="83">
        <v>10.351974612129785</v>
      </c>
      <c r="J276" s="30">
        <v>12.9</v>
      </c>
      <c r="K276" s="30">
        <v>5.7</v>
      </c>
      <c r="L276" s="83">
        <v>9.2899153737658722</v>
      </c>
      <c r="M276" s="114">
        <v>97.5</v>
      </c>
      <c r="N276" s="31">
        <v>82.1</v>
      </c>
      <c r="O276" s="109">
        <v>93.283850493652977</v>
      </c>
      <c r="P276" s="119">
        <v>1028.9377203015599</v>
      </c>
      <c r="Q276" s="32">
        <v>1024.5633931606901</v>
      </c>
      <c r="R276" s="70">
        <v>1026.9370886539039</v>
      </c>
      <c r="S276" s="111">
        <v>3.1000077050219446</v>
      </c>
      <c r="T276" s="110">
        <v>1.8625046292268888</v>
      </c>
      <c r="U276" s="33">
        <v>0.46778390076499854</v>
      </c>
      <c r="V276" s="216" t="s">
        <v>235</v>
      </c>
      <c r="W276" s="224" t="s">
        <v>213</v>
      </c>
      <c r="X276" s="105">
        <v>1.2</v>
      </c>
      <c r="Y276" s="106">
        <v>0.3</v>
      </c>
      <c r="Z276" s="107">
        <v>0</v>
      </c>
      <c r="AA276" s="112">
        <v>0</v>
      </c>
      <c r="AB276" s="318" t="s">
        <v>212</v>
      </c>
    </row>
    <row r="277" spans="1:28" s="20" customFormat="1" x14ac:dyDescent="0.3">
      <c r="A277" s="39">
        <v>44471</v>
      </c>
      <c r="B277" s="40">
        <v>9.9</v>
      </c>
      <c r="C277" s="14">
        <v>18.100000000000001</v>
      </c>
      <c r="D277" s="14">
        <v>9.3000000000000007</v>
      </c>
      <c r="E277" s="14">
        <v>18.600000000000001</v>
      </c>
      <c r="F277" s="14">
        <v>6.9</v>
      </c>
      <c r="G277" s="76">
        <f>E277-F277</f>
        <v>11.700000000000001</v>
      </c>
      <c r="H277" s="76">
        <f>(B277+C277+2*D277)/4</f>
        <v>11.65</v>
      </c>
      <c r="I277" s="78">
        <v>12.152777777777803</v>
      </c>
      <c r="J277" s="30">
        <v>13.9</v>
      </c>
      <c r="K277" s="30">
        <v>6.1</v>
      </c>
      <c r="L277" s="83">
        <v>10.129097222222239</v>
      </c>
      <c r="M277" s="114">
        <v>98.6</v>
      </c>
      <c r="N277" s="31">
        <v>68.2</v>
      </c>
      <c r="O277" s="109">
        <v>88.173472222222259</v>
      </c>
      <c r="P277" s="117">
        <v>1024.5682915495399</v>
      </c>
      <c r="Q277" s="21">
        <v>1021.0734948788</v>
      </c>
      <c r="R277" s="70">
        <v>1022.4847590068283</v>
      </c>
      <c r="S277" s="71">
        <v>9.2000228665167221</v>
      </c>
      <c r="T277" s="61">
        <v>5.7357285417802224</v>
      </c>
      <c r="U277" s="25">
        <v>1.8444924316800682</v>
      </c>
      <c r="V277" s="218" t="s">
        <v>232</v>
      </c>
      <c r="W277" s="219"/>
      <c r="X277" s="16">
        <v>0</v>
      </c>
      <c r="Y277" s="17">
        <v>0</v>
      </c>
      <c r="Z277" s="18">
        <v>0</v>
      </c>
      <c r="AA277" s="43">
        <v>0</v>
      </c>
      <c r="AB277" s="319" t="s">
        <v>355</v>
      </c>
    </row>
    <row r="278" spans="1:28" s="20" customFormat="1" x14ac:dyDescent="0.3">
      <c r="A278" s="39">
        <v>44472</v>
      </c>
      <c r="B278" s="40">
        <v>9.1999999999999993</v>
      </c>
      <c r="C278" s="14">
        <v>18.600000000000001</v>
      </c>
      <c r="D278" s="14">
        <v>7.9</v>
      </c>
      <c r="E278" s="14">
        <v>18.899999999999999</v>
      </c>
      <c r="F278" s="14">
        <v>5.2</v>
      </c>
      <c r="G278" s="76">
        <f t="shared" ref="G278:G305" si="20">E278-F278</f>
        <v>13.7</v>
      </c>
      <c r="H278" s="76">
        <f t="shared" ref="H278:H306" si="21">(B278+C278+2*D278)/4</f>
        <v>10.9</v>
      </c>
      <c r="I278" s="78">
        <v>11.116388888888908</v>
      </c>
      <c r="J278" s="30">
        <v>13.3</v>
      </c>
      <c r="K278" s="30">
        <v>4.5999999999999996</v>
      </c>
      <c r="L278" s="83">
        <v>8.3586111111110952</v>
      </c>
      <c r="M278" s="114">
        <v>99.2</v>
      </c>
      <c r="N278" s="31">
        <v>60.3</v>
      </c>
      <c r="O278" s="109">
        <v>84.423333333333318</v>
      </c>
      <c r="P278" s="117">
        <v>1021.90174384047</v>
      </c>
      <c r="Q278" s="21">
        <v>1019.2313678677</v>
      </c>
      <c r="R278" s="70">
        <v>1020.882266868423</v>
      </c>
      <c r="S278" s="71">
        <v>7.8000193868293888</v>
      </c>
      <c r="T278" s="61">
        <v>4.9571551780765413</v>
      </c>
      <c r="U278" s="25">
        <v>2.1253649055779738</v>
      </c>
      <c r="V278" s="218" t="s">
        <v>233</v>
      </c>
      <c r="W278" s="219"/>
      <c r="X278" s="16">
        <v>0</v>
      </c>
      <c r="Y278" s="17">
        <v>0</v>
      </c>
      <c r="Z278" s="18">
        <v>0</v>
      </c>
      <c r="AA278" s="43">
        <v>0</v>
      </c>
      <c r="AB278" s="319" t="s">
        <v>390</v>
      </c>
    </row>
    <row r="279" spans="1:28" s="20" customFormat="1" x14ac:dyDescent="0.3">
      <c r="A279" s="39">
        <v>44473</v>
      </c>
      <c r="B279" s="40">
        <v>6.9</v>
      </c>
      <c r="C279" s="14">
        <v>20.8</v>
      </c>
      <c r="D279" s="14">
        <v>11.4</v>
      </c>
      <c r="E279" s="14">
        <v>21.2</v>
      </c>
      <c r="F279" s="14">
        <v>6.2</v>
      </c>
      <c r="G279" s="76">
        <f t="shared" si="20"/>
        <v>15</v>
      </c>
      <c r="H279" s="76">
        <f t="shared" si="21"/>
        <v>12.625</v>
      </c>
      <c r="I279" s="78">
        <v>13.091666666666708</v>
      </c>
      <c r="J279" s="14">
        <v>13.2</v>
      </c>
      <c r="K279" s="14">
        <v>5.6</v>
      </c>
      <c r="L279" s="78">
        <v>9.2871527777777683</v>
      </c>
      <c r="M279" s="84">
        <v>99</v>
      </c>
      <c r="N279" s="24">
        <v>54.1</v>
      </c>
      <c r="O279" s="80">
        <v>79.954166666666666</v>
      </c>
      <c r="P279" s="117">
        <v>1021.7915855064</v>
      </c>
      <c r="Q279" s="21">
        <v>1018.87459491682</v>
      </c>
      <c r="R279" s="66">
        <v>1020.53595779532</v>
      </c>
      <c r="S279" s="72">
        <v>8.2000203810257499</v>
      </c>
      <c r="T279" s="62">
        <v>4.7455475092717778</v>
      </c>
      <c r="U279" s="19">
        <v>1.6813120492458618</v>
      </c>
      <c r="V279" s="218" t="s">
        <v>233</v>
      </c>
      <c r="W279" s="220"/>
      <c r="X279" s="16">
        <v>0</v>
      </c>
      <c r="Y279" s="17">
        <v>0</v>
      </c>
      <c r="Z279" s="18">
        <v>0</v>
      </c>
      <c r="AA279" s="43">
        <v>0</v>
      </c>
      <c r="AB279" s="319" t="s">
        <v>521</v>
      </c>
    </row>
    <row r="280" spans="1:28" s="20" customFormat="1" x14ac:dyDescent="0.3">
      <c r="A280" s="39">
        <v>44474</v>
      </c>
      <c r="B280" s="40">
        <v>7.9</v>
      </c>
      <c r="C280" s="14">
        <v>21.3</v>
      </c>
      <c r="D280" s="14">
        <v>17</v>
      </c>
      <c r="E280" s="14">
        <v>22.7</v>
      </c>
      <c r="F280" s="14">
        <v>7.1</v>
      </c>
      <c r="G280" s="64">
        <f t="shared" si="20"/>
        <v>15.6</v>
      </c>
      <c r="H280" s="64">
        <f t="shared" si="21"/>
        <v>15.8</v>
      </c>
      <c r="I280" s="78">
        <v>14.608680555555555</v>
      </c>
      <c r="J280" s="14">
        <v>14.2</v>
      </c>
      <c r="K280" s="14">
        <v>6.3</v>
      </c>
      <c r="L280" s="78">
        <v>10.017916666666665</v>
      </c>
      <c r="M280" s="84">
        <v>97.9</v>
      </c>
      <c r="N280" s="24">
        <v>52.6</v>
      </c>
      <c r="O280" s="80">
        <v>75.900625000000019</v>
      </c>
      <c r="P280" s="117">
        <v>1021.30710067286</v>
      </c>
      <c r="Q280" s="21">
        <v>1017.8529327366</v>
      </c>
      <c r="R280" s="66">
        <v>1019.6174806251604</v>
      </c>
      <c r="S280" s="71">
        <v>9.9000246063603612</v>
      </c>
      <c r="T280" s="61">
        <v>6.3357300330747908</v>
      </c>
      <c r="U280" s="25">
        <v>2.0504143224640452</v>
      </c>
      <c r="V280" s="218" t="s">
        <v>242</v>
      </c>
      <c r="W280" s="220"/>
      <c r="X280" s="16">
        <v>0</v>
      </c>
      <c r="Y280" s="17">
        <v>0</v>
      </c>
      <c r="Z280" s="18">
        <v>0</v>
      </c>
      <c r="AA280" s="43">
        <v>0</v>
      </c>
      <c r="AB280" s="319" t="s">
        <v>522</v>
      </c>
    </row>
    <row r="281" spans="1:28" s="20" customFormat="1" x14ac:dyDescent="0.3">
      <c r="A281" s="39">
        <v>44475</v>
      </c>
      <c r="B281" s="40">
        <v>12.4</v>
      </c>
      <c r="C281" s="14">
        <v>16</v>
      </c>
      <c r="D281" s="14">
        <v>10.3</v>
      </c>
      <c r="E281" s="14">
        <v>16</v>
      </c>
      <c r="F281" s="14">
        <v>10.1</v>
      </c>
      <c r="G281" s="64">
        <f t="shared" si="20"/>
        <v>5.9</v>
      </c>
      <c r="H281" s="64">
        <f t="shared" si="21"/>
        <v>12.25</v>
      </c>
      <c r="I281" s="78">
        <v>12.677222222222184</v>
      </c>
      <c r="J281" s="14">
        <v>10.5</v>
      </c>
      <c r="K281" s="14">
        <v>4.5999999999999996</v>
      </c>
      <c r="L281" s="78">
        <v>7.7279861111110257</v>
      </c>
      <c r="M281" s="84">
        <v>95.3</v>
      </c>
      <c r="N281" s="24">
        <v>55.1</v>
      </c>
      <c r="O281" s="80">
        <v>73.194999999999837</v>
      </c>
      <c r="P281" s="117">
        <v>1022.90581621586</v>
      </c>
      <c r="Q281" s="21">
        <v>1019.74036658599</v>
      </c>
      <c r="R281" s="66">
        <v>1020.9749984350506</v>
      </c>
      <c r="S281" s="71">
        <v>11.200027837498611</v>
      </c>
      <c r="T281" s="61">
        <v>7.1723392553114032</v>
      </c>
      <c r="U281" s="25">
        <v>2.3128922400605516</v>
      </c>
      <c r="V281" s="218" t="s">
        <v>232</v>
      </c>
      <c r="W281" s="220" t="s">
        <v>213</v>
      </c>
      <c r="X281" s="16">
        <v>2.4</v>
      </c>
      <c r="Y281" s="17">
        <v>1.5</v>
      </c>
      <c r="Z281" s="18">
        <v>0</v>
      </c>
      <c r="AA281" s="43">
        <v>0</v>
      </c>
      <c r="AB281" s="319" t="s">
        <v>212</v>
      </c>
    </row>
    <row r="282" spans="1:28" s="20" customFormat="1" x14ac:dyDescent="0.3">
      <c r="A282" s="39">
        <v>44476</v>
      </c>
      <c r="B282" s="40">
        <v>9.9</v>
      </c>
      <c r="C282" s="14">
        <v>16.899999999999999</v>
      </c>
      <c r="D282" s="14">
        <v>6.5</v>
      </c>
      <c r="E282" s="14">
        <v>19.600000000000001</v>
      </c>
      <c r="F282" s="14">
        <v>3.4</v>
      </c>
      <c r="G282" s="64">
        <f t="shared" si="20"/>
        <v>16.200000000000003</v>
      </c>
      <c r="H282" s="64">
        <f t="shared" si="21"/>
        <v>9.9499999999999993</v>
      </c>
      <c r="I282" s="78">
        <v>11.293402777777768</v>
      </c>
      <c r="J282" s="14">
        <v>13.7</v>
      </c>
      <c r="K282" s="14">
        <v>2.4</v>
      </c>
      <c r="L282" s="78">
        <v>8.7658333333333491</v>
      </c>
      <c r="M282" s="84">
        <v>96.4</v>
      </c>
      <c r="N282" s="24">
        <v>60.9</v>
      </c>
      <c r="O282" s="80">
        <v>85.496597222222093</v>
      </c>
      <c r="P282" s="117">
        <v>1027.97554863554</v>
      </c>
      <c r="Q282" s="21">
        <v>1022.74420675382</v>
      </c>
      <c r="R282" s="66">
        <v>1024.5182789090131</v>
      </c>
      <c r="S282" s="71">
        <v>5.8000144158475004</v>
      </c>
      <c r="T282" s="61">
        <v>3.8714381938292357</v>
      </c>
      <c r="U282" s="25">
        <v>0.81279343883650634</v>
      </c>
      <c r="V282" s="218" t="s">
        <v>240</v>
      </c>
      <c r="W282" s="220"/>
      <c r="X282" s="16">
        <v>0</v>
      </c>
      <c r="Y282" s="17">
        <v>0</v>
      </c>
      <c r="Z282" s="18">
        <v>0</v>
      </c>
      <c r="AA282" s="43">
        <v>0</v>
      </c>
      <c r="AB282" s="319" t="s">
        <v>209</v>
      </c>
    </row>
    <row r="283" spans="1:28" s="20" customFormat="1" x14ac:dyDescent="0.3">
      <c r="A283" s="39">
        <v>44477</v>
      </c>
      <c r="B283" s="40">
        <v>2.4</v>
      </c>
      <c r="C283" s="14">
        <v>18</v>
      </c>
      <c r="D283" s="14">
        <v>3.3</v>
      </c>
      <c r="E283" s="14">
        <v>19.2</v>
      </c>
      <c r="F283" s="14">
        <v>-0.8</v>
      </c>
      <c r="G283" s="64">
        <f t="shared" si="20"/>
        <v>20</v>
      </c>
      <c r="H283" s="64">
        <f t="shared" si="21"/>
        <v>6.75</v>
      </c>
      <c r="I283" s="78">
        <v>7.1361805555555557</v>
      </c>
      <c r="J283" s="14">
        <v>10</v>
      </c>
      <c r="K283" s="14">
        <v>-2.2999999999999998</v>
      </c>
      <c r="L283" s="78">
        <v>2.2947916666666672</v>
      </c>
      <c r="M283" s="84">
        <v>96.6</v>
      </c>
      <c r="N283" s="24">
        <v>39.299999999999997</v>
      </c>
      <c r="O283" s="80">
        <v>74.770486111111154</v>
      </c>
      <c r="P283" s="117">
        <v>1031.8970963941399</v>
      </c>
      <c r="Q283" s="21">
        <v>1027.3811460730101</v>
      </c>
      <c r="R283" s="66">
        <v>1029.3029248113785</v>
      </c>
      <c r="S283" s="71">
        <v>11.900029577342277</v>
      </c>
      <c r="T283" s="61">
        <v>6.9928745235402641</v>
      </c>
      <c r="U283" s="25">
        <v>1.2220082456162162</v>
      </c>
      <c r="V283" s="218" t="s">
        <v>236</v>
      </c>
      <c r="W283" s="220"/>
      <c r="X283" s="16">
        <v>0</v>
      </c>
      <c r="Y283" s="17">
        <v>0</v>
      </c>
      <c r="Z283" s="18">
        <v>0</v>
      </c>
      <c r="AA283" s="43">
        <v>0</v>
      </c>
      <c r="AB283" s="319" t="s">
        <v>349</v>
      </c>
    </row>
    <row r="284" spans="1:28" s="20" customFormat="1" x14ac:dyDescent="0.3">
      <c r="A284" s="39">
        <v>44478</v>
      </c>
      <c r="B284" s="40">
        <v>-2.2999999999999998</v>
      </c>
      <c r="C284" s="14">
        <v>16</v>
      </c>
      <c r="D284" s="14">
        <v>3.2</v>
      </c>
      <c r="E284" s="14">
        <v>16.899999999999999</v>
      </c>
      <c r="F284" s="14">
        <v>-2.8</v>
      </c>
      <c r="G284" s="64">
        <f t="shared" si="20"/>
        <v>19.7</v>
      </c>
      <c r="H284" s="64">
        <f t="shared" si="21"/>
        <v>5.0250000000000004</v>
      </c>
      <c r="I284" s="78">
        <v>5.6199305555555545</v>
      </c>
      <c r="J284" s="14">
        <v>6.5</v>
      </c>
      <c r="K284" s="14">
        <v>-3.9</v>
      </c>
      <c r="L284" s="78">
        <v>2.8541666666669033E-2</v>
      </c>
      <c r="M284" s="84">
        <v>95.8</v>
      </c>
      <c r="N284" s="24">
        <v>39.299999999999997</v>
      </c>
      <c r="O284" s="80">
        <v>70.745347222222236</v>
      </c>
      <c r="P284" s="117">
        <v>1031.91856920087</v>
      </c>
      <c r="Q284" s="21">
        <v>1028.68067451149</v>
      </c>
      <c r="R284" s="66">
        <v>1030.5548073492928</v>
      </c>
      <c r="S284" s="71">
        <v>7.8000193868293888</v>
      </c>
      <c r="T284" s="61">
        <v>4.6571544324292642</v>
      </c>
      <c r="U284" s="25">
        <v>1.4402152198446341</v>
      </c>
      <c r="V284" s="218" t="s">
        <v>236</v>
      </c>
      <c r="W284" s="220"/>
      <c r="X284" s="16">
        <v>0</v>
      </c>
      <c r="Y284" s="17">
        <v>0</v>
      </c>
      <c r="Z284" s="18">
        <v>0</v>
      </c>
      <c r="AA284" s="43">
        <v>0</v>
      </c>
      <c r="AB284" s="319" t="s">
        <v>358</v>
      </c>
    </row>
    <row r="285" spans="1:28" s="20" customFormat="1" x14ac:dyDescent="0.3">
      <c r="A285" s="39">
        <v>44479</v>
      </c>
      <c r="B285" s="40">
        <v>-2.6</v>
      </c>
      <c r="C285" s="14">
        <v>17.2</v>
      </c>
      <c r="D285" s="14">
        <v>3.3</v>
      </c>
      <c r="E285" s="14">
        <v>17.8</v>
      </c>
      <c r="F285" s="14">
        <v>-3</v>
      </c>
      <c r="G285" s="64">
        <f t="shared" si="20"/>
        <v>20.8</v>
      </c>
      <c r="H285" s="64">
        <f t="shared" si="21"/>
        <v>5.3</v>
      </c>
      <c r="I285" s="78">
        <v>5.4093238434163773</v>
      </c>
      <c r="J285" s="14">
        <v>6.6</v>
      </c>
      <c r="K285" s="14">
        <v>-4.0999999999999996</v>
      </c>
      <c r="L285" s="78">
        <v>0.84725978647686562</v>
      </c>
      <c r="M285" s="84">
        <v>95</v>
      </c>
      <c r="N285" s="24">
        <v>39.200000000000003</v>
      </c>
      <c r="O285" s="80">
        <v>75.599074733096231</v>
      </c>
      <c r="P285" s="117">
        <v>1030.5193942215701</v>
      </c>
      <c r="Q285" s="21">
        <v>1024.2495273618999</v>
      </c>
      <c r="R285" s="66">
        <v>1027.0384791101817</v>
      </c>
      <c r="S285" s="71">
        <v>3.1000077050219446</v>
      </c>
      <c r="T285" s="61">
        <v>1.9500048467073459</v>
      </c>
      <c r="U285" s="25">
        <v>0.40425447699056755</v>
      </c>
      <c r="V285" s="218" t="s">
        <v>268</v>
      </c>
      <c r="W285" s="220"/>
      <c r="X285" s="16">
        <v>0</v>
      </c>
      <c r="Y285" s="17">
        <v>0</v>
      </c>
      <c r="Z285" s="18">
        <v>0</v>
      </c>
      <c r="AA285" s="43">
        <v>0</v>
      </c>
      <c r="AB285" s="319" t="s">
        <v>523</v>
      </c>
    </row>
    <row r="286" spans="1:28" s="20" customFormat="1" x14ac:dyDescent="0.3">
      <c r="A286" s="39">
        <v>44480</v>
      </c>
      <c r="B286" s="40">
        <v>1.1000000000000001</v>
      </c>
      <c r="C286" s="14">
        <v>12.9</v>
      </c>
      <c r="D286" s="14">
        <v>7.2</v>
      </c>
      <c r="E286" s="14">
        <v>13.1</v>
      </c>
      <c r="F286" s="14">
        <v>1</v>
      </c>
      <c r="G286" s="64">
        <f t="shared" si="20"/>
        <v>12.1</v>
      </c>
      <c r="H286" s="64">
        <f t="shared" si="21"/>
        <v>7.1</v>
      </c>
      <c r="I286" s="78">
        <v>6.7506944444444574</v>
      </c>
      <c r="J286" s="14">
        <v>8.6999999999999993</v>
      </c>
      <c r="K286" s="14">
        <v>0.1</v>
      </c>
      <c r="L286" s="78">
        <v>4.6130555555555439</v>
      </c>
      <c r="M286" s="84">
        <v>95.8</v>
      </c>
      <c r="N286" s="24">
        <v>67.2</v>
      </c>
      <c r="O286" s="80">
        <v>86.87618055555555</v>
      </c>
      <c r="P286" s="117">
        <v>1024.22787238564</v>
      </c>
      <c r="Q286" s="21">
        <v>1016.64747639903</v>
      </c>
      <c r="R286" s="66">
        <v>1019.848312209641</v>
      </c>
      <c r="S286" s="71">
        <v>1.4000034796873249</v>
      </c>
      <c r="T286" s="61">
        <v>0.6714302402582083</v>
      </c>
      <c r="U286" s="25">
        <v>0.13945471169192675</v>
      </c>
      <c r="V286" s="218" t="s">
        <v>241</v>
      </c>
      <c r="W286" s="220" t="s">
        <v>224</v>
      </c>
      <c r="X286" s="16">
        <v>0</v>
      </c>
      <c r="Y286" s="17">
        <v>0</v>
      </c>
      <c r="Z286" s="18">
        <v>0</v>
      </c>
      <c r="AA286" s="43">
        <v>0</v>
      </c>
      <c r="AB286" s="319" t="s">
        <v>209</v>
      </c>
    </row>
    <row r="287" spans="1:28" s="20" customFormat="1" x14ac:dyDescent="0.3">
      <c r="A287" s="39">
        <v>44481</v>
      </c>
      <c r="B287" s="40">
        <v>4.5999999999999996</v>
      </c>
      <c r="C287" s="14">
        <v>11.7</v>
      </c>
      <c r="D287" s="14">
        <v>2.2999999999999998</v>
      </c>
      <c r="E287" s="14">
        <v>17</v>
      </c>
      <c r="F287" s="14">
        <v>1.1000000000000001</v>
      </c>
      <c r="G287" s="64">
        <f t="shared" si="20"/>
        <v>15.9</v>
      </c>
      <c r="H287" s="64">
        <f t="shared" si="21"/>
        <v>5.2249999999999996</v>
      </c>
      <c r="I287" s="78">
        <v>6.6373611111111019</v>
      </c>
      <c r="J287" s="14">
        <v>11</v>
      </c>
      <c r="K287" s="14">
        <v>0.5</v>
      </c>
      <c r="L287" s="78">
        <v>4.9794444444444261</v>
      </c>
      <c r="M287" s="84">
        <v>97.8</v>
      </c>
      <c r="N287" s="24">
        <v>55.4</v>
      </c>
      <c r="O287" s="80">
        <v>90.013402777777785</v>
      </c>
      <c r="P287" s="117"/>
      <c r="Q287" s="21"/>
      <c r="R287" s="66"/>
      <c r="S287" s="71"/>
      <c r="T287" s="61"/>
      <c r="U287" s="25"/>
      <c r="V287" s="218"/>
      <c r="W287" s="220" t="s">
        <v>213</v>
      </c>
      <c r="X287" s="16">
        <v>1.2</v>
      </c>
      <c r="Y287" s="17">
        <v>0.1</v>
      </c>
      <c r="Z287" s="18">
        <v>0</v>
      </c>
      <c r="AA287" s="43">
        <v>0</v>
      </c>
      <c r="AB287" s="319" t="s">
        <v>329</v>
      </c>
    </row>
    <row r="288" spans="1:28" s="20" customFormat="1" x14ac:dyDescent="0.3">
      <c r="A288" s="39">
        <v>44482</v>
      </c>
      <c r="B288" s="40">
        <v>0.6</v>
      </c>
      <c r="C288" s="14">
        <v>7</v>
      </c>
      <c r="D288" s="14">
        <v>5.0999999999999996</v>
      </c>
      <c r="E288" s="14">
        <v>7.6</v>
      </c>
      <c r="F288" s="14">
        <v>0</v>
      </c>
      <c r="G288" s="64">
        <f t="shared" si="20"/>
        <v>7.6</v>
      </c>
      <c r="H288" s="64">
        <f t="shared" si="21"/>
        <v>4.4499999999999993</v>
      </c>
      <c r="I288" s="78">
        <v>3.6512499999999983</v>
      </c>
      <c r="J288" s="14">
        <v>6.2</v>
      </c>
      <c r="K288" s="14">
        <v>-0.4</v>
      </c>
      <c r="L288" s="78">
        <v>2.9644444444444362</v>
      </c>
      <c r="M288" s="84">
        <v>98.7</v>
      </c>
      <c r="N288" s="24">
        <v>88.3</v>
      </c>
      <c r="O288" s="80">
        <v>95.341041666666314</v>
      </c>
      <c r="P288" s="117"/>
      <c r="Q288" s="21"/>
      <c r="R288" s="66"/>
      <c r="S288" s="71"/>
      <c r="T288" s="61"/>
      <c r="U288" s="25"/>
      <c r="V288" s="218"/>
      <c r="W288" s="221" t="s">
        <v>213</v>
      </c>
      <c r="X288" s="26">
        <v>1.2</v>
      </c>
      <c r="Y288" s="27">
        <v>2</v>
      </c>
      <c r="Z288" s="28">
        <v>0</v>
      </c>
      <c r="AA288" s="29">
        <v>0</v>
      </c>
      <c r="AB288" s="320" t="s">
        <v>506</v>
      </c>
    </row>
    <row r="289" spans="1:28" s="20" customFormat="1" x14ac:dyDescent="0.3">
      <c r="A289" s="39">
        <v>44483</v>
      </c>
      <c r="B289" s="40">
        <v>0.4</v>
      </c>
      <c r="C289" s="14">
        <v>13.9</v>
      </c>
      <c r="D289" s="14">
        <v>0.8</v>
      </c>
      <c r="E289" s="14">
        <v>15.1</v>
      </c>
      <c r="F289" s="14">
        <v>-1.3</v>
      </c>
      <c r="G289" s="64">
        <f t="shared" si="20"/>
        <v>16.399999999999999</v>
      </c>
      <c r="H289" s="64">
        <f t="shared" si="21"/>
        <v>3.9750000000000001</v>
      </c>
      <c r="I289" s="78">
        <v>4.95875000000001</v>
      </c>
      <c r="J289" s="14">
        <v>8.5</v>
      </c>
      <c r="K289" s="14">
        <v>-2.2000000000000002</v>
      </c>
      <c r="L289" s="78">
        <v>2.2238194444444495</v>
      </c>
      <c r="M289" s="84">
        <v>98</v>
      </c>
      <c r="N289" s="24">
        <v>47.9</v>
      </c>
      <c r="O289" s="80">
        <v>84.415694444444355</v>
      </c>
      <c r="P289" s="117"/>
      <c r="Q289" s="21"/>
      <c r="R289" s="66"/>
      <c r="S289" s="71"/>
      <c r="T289" s="61"/>
      <c r="U289" s="25"/>
      <c r="V289" s="218"/>
      <c r="W289" s="221"/>
      <c r="X289" s="26">
        <v>0</v>
      </c>
      <c r="Y289" s="27">
        <v>0</v>
      </c>
      <c r="Z289" s="28">
        <v>0</v>
      </c>
      <c r="AA289" s="29">
        <v>0</v>
      </c>
      <c r="AB289" s="320" t="s">
        <v>333</v>
      </c>
    </row>
    <row r="290" spans="1:28" s="20" customFormat="1" x14ac:dyDescent="0.3">
      <c r="A290" s="39">
        <v>44484</v>
      </c>
      <c r="B290" s="40">
        <v>1.5</v>
      </c>
      <c r="C290" s="14">
        <v>12.8</v>
      </c>
      <c r="D290" s="14">
        <v>2</v>
      </c>
      <c r="E290" s="14">
        <v>13.4</v>
      </c>
      <c r="F290" s="14">
        <v>-1.9</v>
      </c>
      <c r="G290" s="64">
        <f t="shared" si="20"/>
        <v>15.3</v>
      </c>
      <c r="H290" s="64">
        <f t="shared" si="21"/>
        <v>4.5750000000000002</v>
      </c>
      <c r="I290" s="78">
        <v>4.5189583333333303</v>
      </c>
      <c r="J290" s="14">
        <v>9</v>
      </c>
      <c r="K290" s="14">
        <v>-2.7</v>
      </c>
      <c r="L290" s="78">
        <v>2.5866666666666629</v>
      </c>
      <c r="M290" s="84">
        <v>96.9</v>
      </c>
      <c r="N290" s="24">
        <v>61.3</v>
      </c>
      <c r="O290" s="80">
        <v>88.295000000000016</v>
      </c>
      <c r="P290" s="117">
        <v>1023.58092509414</v>
      </c>
      <c r="Q290" s="21">
        <v>1017.20556126975</v>
      </c>
      <c r="R290" s="66">
        <v>1020.4283358313072</v>
      </c>
      <c r="S290" s="71">
        <v>7.5000186411821108</v>
      </c>
      <c r="T290" s="61">
        <v>4.3678679991265277</v>
      </c>
      <c r="U290" s="25">
        <v>0.78202906012343465</v>
      </c>
      <c r="V290" s="218" t="s">
        <v>303</v>
      </c>
      <c r="W290" s="221" t="s">
        <v>213</v>
      </c>
      <c r="X290" s="26">
        <v>2.4</v>
      </c>
      <c r="Y290" s="27">
        <v>0.6</v>
      </c>
      <c r="Z290" s="28">
        <v>0</v>
      </c>
      <c r="AA290" s="29">
        <v>0</v>
      </c>
      <c r="AB290" s="320" t="s">
        <v>390</v>
      </c>
    </row>
    <row r="291" spans="1:28" s="20" customFormat="1" x14ac:dyDescent="0.3">
      <c r="A291" s="39">
        <v>44485</v>
      </c>
      <c r="B291" s="40">
        <v>4</v>
      </c>
      <c r="C291" s="14">
        <v>15.2</v>
      </c>
      <c r="D291" s="14">
        <v>1.2</v>
      </c>
      <c r="E291" s="14">
        <v>16.399999999999999</v>
      </c>
      <c r="F291" s="14">
        <v>-1.3</v>
      </c>
      <c r="G291" s="64">
        <f t="shared" si="20"/>
        <v>17.7</v>
      </c>
      <c r="H291" s="64">
        <f t="shared" si="21"/>
        <v>5.3999999999999995</v>
      </c>
      <c r="I291" s="78">
        <v>6.5754861111110952</v>
      </c>
      <c r="J291" s="14">
        <v>9.9</v>
      </c>
      <c r="K291" s="14">
        <v>-2.2999999999999998</v>
      </c>
      <c r="L291" s="78">
        <v>3.639861111111117</v>
      </c>
      <c r="M291" s="84">
        <v>97.7</v>
      </c>
      <c r="N291" s="24">
        <v>52.2</v>
      </c>
      <c r="O291" s="80">
        <v>83.199097222222136</v>
      </c>
      <c r="P291" s="117">
        <v>1022.70304377947</v>
      </c>
      <c r="Q291" s="21">
        <v>1018.02951566586</v>
      </c>
      <c r="R291" s="66">
        <v>1019.9775092213983</v>
      </c>
      <c r="S291" s="71">
        <v>7.8000193868293888</v>
      </c>
      <c r="T291" s="61">
        <v>4.5285826842947081</v>
      </c>
      <c r="U291" s="25">
        <v>0.85960655122153029</v>
      </c>
      <c r="V291" s="218" t="s">
        <v>240</v>
      </c>
      <c r="W291" s="221"/>
      <c r="X291" s="26">
        <v>0</v>
      </c>
      <c r="Y291" s="27">
        <v>0</v>
      </c>
      <c r="Z291" s="28">
        <v>0</v>
      </c>
      <c r="AA291" s="29">
        <v>0</v>
      </c>
      <c r="AB291" s="320" t="s">
        <v>333</v>
      </c>
    </row>
    <row r="292" spans="1:28" s="20" customFormat="1" x14ac:dyDescent="0.3">
      <c r="A292" s="39">
        <v>44486</v>
      </c>
      <c r="B292" s="40">
        <v>-1.4</v>
      </c>
      <c r="C292" s="14">
        <v>13.3</v>
      </c>
      <c r="D292" s="14">
        <v>3.3</v>
      </c>
      <c r="E292" s="14">
        <v>14.9</v>
      </c>
      <c r="F292" s="14">
        <v>-1.6</v>
      </c>
      <c r="G292" s="64">
        <f t="shared" si="20"/>
        <v>16.5</v>
      </c>
      <c r="H292" s="64">
        <f t="shared" si="21"/>
        <v>4.625</v>
      </c>
      <c r="I292" s="78">
        <v>4.4259027777777789</v>
      </c>
      <c r="J292" s="14">
        <v>6.8</v>
      </c>
      <c r="K292" s="14">
        <v>-2.4</v>
      </c>
      <c r="L292" s="78">
        <v>1.2686805555555554</v>
      </c>
      <c r="M292" s="84">
        <v>96.2</v>
      </c>
      <c r="N292" s="24">
        <v>51</v>
      </c>
      <c r="O292" s="80">
        <v>82.198680555555526</v>
      </c>
      <c r="P292" s="117">
        <v>1023.28202873918</v>
      </c>
      <c r="Q292" s="21">
        <v>1019.80596888935</v>
      </c>
      <c r="R292" s="66">
        <v>1021.906251052555</v>
      </c>
      <c r="S292" s="71">
        <v>3.1000077050219446</v>
      </c>
      <c r="T292" s="61">
        <v>1.6785756006455181</v>
      </c>
      <c r="U292" s="25">
        <v>0.41798839009425326</v>
      </c>
      <c r="V292" s="218" t="s">
        <v>231</v>
      </c>
      <c r="W292" s="221"/>
      <c r="X292" s="26">
        <v>0</v>
      </c>
      <c r="Y292" s="27">
        <v>0</v>
      </c>
      <c r="Z292" s="28">
        <v>0</v>
      </c>
      <c r="AA292" s="29">
        <v>0</v>
      </c>
      <c r="AB292" s="320" t="s">
        <v>462</v>
      </c>
    </row>
    <row r="293" spans="1:28" s="20" customFormat="1" x14ac:dyDescent="0.3">
      <c r="A293" s="39">
        <v>44487</v>
      </c>
      <c r="B293" s="40">
        <v>2.2000000000000002</v>
      </c>
      <c r="C293" s="14">
        <v>13.2</v>
      </c>
      <c r="D293" s="14">
        <v>7.3</v>
      </c>
      <c r="E293" s="14">
        <v>13.2</v>
      </c>
      <c r="F293" s="14">
        <v>1.8</v>
      </c>
      <c r="G293" s="64">
        <f t="shared" si="20"/>
        <v>11.399999999999999</v>
      </c>
      <c r="H293" s="64">
        <f t="shared" si="21"/>
        <v>7.5</v>
      </c>
      <c r="I293" s="78">
        <v>6.4222222222222269</v>
      </c>
      <c r="J293" s="14">
        <v>7.8</v>
      </c>
      <c r="K293" s="14">
        <v>1</v>
      </c>
      <c r="L293" s="78">
        <v>4.3436805555555562</v>
      </c>
      <c r="M293" s="84">
        <v>96.1</v>
      </c>
      <c r="N293" s="24">
        <v>62.4</v>
      </c>
      <c r="O293" s="80">
        <v>87.261736111110878</v>
      </c>
      <c r="P293" s="117">
        <v>1027.6290165139901</v>
      </c>
      <c r="Q293" s="21">
        <v>1022.60522025441</v>
      </c>
      <c r="R293" s="66">
        <v>1024.4946506372764</v>
      </c>
      <c r="S293" s="71">
        <v>1.700004225334611</v>
      </c>
      <c r="T293" s="61">
        <v>1.2428602319673194</v>
      </c>
      <c r="U293" s="25">
        <v>0.24538131425659829</v>
      </c>
      <c r="V293" s="218" t="s">
        <v>237</v>
      </c>
      <c r="W293" s="221"/>
      <c r="X293" s="26">
        <v>0</v>
      </c>
      <c r="Y293" s="27">
        <v>0</v>
      </c>
      <c r="Z293" s="28">
        <v>0</v>
      </c>
      <c r="AA293" s="29">
        <v>0</v>
      </c>
      <c r="AB293" s="320" t="s">
        <v>343</v>
      </c>
    </row>
    <row r="294" spans="1:28" s="20" customFormat="1" x14ac:dyDescent="0.3">
      <c r="A294" s="39">
        <v>44488</v>
      </c>
      <c r="B294" s="40">
        <v>3.6</v>
      </c>
      <c r="C294" s="14">
        <v>15.6</v>
      </c>
      <c r="D294" s="14">
        <v>5.8</v>
      </c>
      <c r="E294" s="14">
        <v>16.600000000000001</v>
      </c>
      <c r="F294" s="14">
        <v>3.3</v>
      </c>
      <c r="G294" s="64">
        <f t="shared" si="20"/>
        <v>13.3</v>
      </c>
      <c r="H294" s="64">
        <f t="shared" si="21"/>
        <v>7.6999999999999993</v>
      </c>
      <c r="I294" s="78">
        <v>8.7840972222222167</v>
      </c>
      <c r="J294" s="14">
        <v>9.5</v>
      </c>
      <c r="K294" s="14">
        <v>2.5</v>
      </c>
      <c r="L294" s="78">
        <v>5.8077083333333359</v>
      </c>
      <c r="M294" s="84">
        <v>97.8</v>
      </c>
      <c r="N294" s="24">
        <v>60.3</v>
      </c>
      <c r="O294" s="80">
        <v>83.008263888888848</v>
      </c>
      <c r="P294" s="117">
        <v>1028.49660513853</v>
      </c>
      <c r="Q294" s="21">
        <v>1024.27550928705</v>
      </c>
      <c r="R294" s="66">
        <v>1026.4097115203447</v>
      </c>
      <c r="S294" s="71">
        <v>8.8000218723203325</v>
      </c>
      <c r="T294" s="61">
        <v>4.7857261805638194</v>
      </c>
      <c r="U294" s="25">
        <v>1.2424096686781385</v>
      </c>
      <c r="V294" s="218" t="s">
        <v>242</v>
      </c>
      <c r="W294" s="221"/>
      <c r="X294" s="26">
        <v>0</v>
      </c>
      <c r="Y294" s="27">
        <v>0</v>
      </c>
      <c r="Z294" s="28">
        <v>0</v>
      </c>
      <c r="AA294" s="29">
        <v>0</v>
      </c>
      <c r="AB294" s="320" t="s">
        <v>353</v>
      </c>
    </row>
    <row r="295" spans="1:28" s="20" customFormat="1" x14ac:dyDescent="0.3">
      <c r="A295" s="39">
        <v>44489</v>
      </c>
      <c r="B295" s="40">
        <v>5</v>
      </c>
      <c r="C295" s="14">
        <v>14.3</v>
      </c>
      <c r="D295" s="14">
        <v>10.4</v>
      </c>
      <c r="E295" s="14">
        <v>14.9</v>
      </c>
      <c r="F295" s="14">
        <v>3.1</v>
      </c>
      <c r="G295" s="64">
        <f t="shared" si="20"/>
        <v>11.8</v>
      </c>
      <c r="H295" s="64">
        <f t="shared" si="21"/>
        <v>10.025</v>
      </c>
      <c r="I295" s="78">
        <v>9.5901388888888626</v>
      </c>
      <c r="J295" s="14">
        <v>8.6999999999999993</v>
      </c>
      <c r="K295" s="14">
        <v>2.2999999999999998</v>
      </c>
      <c r="L295" s="78">
        <v>6.0425694444444469</v>
      </c>
      <c r="M295" s="84">
        <v>96.1</v>
      </c>
      <c r="N295" s="24">
        <v>63.3</v>
      </c>
      <c r="O295" s="80">
        <v>79.532777777777738</v>
      </c>
      <c r="P295" s="117">
        <v>1025.23578251755</v>
      </c>
      <c r="Q295" s="21">
        <v>1015.31460554638</v>
      </c>
      <c r="R295" s="66">
        <v>1020.7449563409053</v>
      </c>
      <c r="S295" s="71">
        <v>11.600028831694972</v>
      </c>
      <c r="T295" s="61">
        <v>6.928588649472986</v>
      </c>
      <c r="U295" s="25">
        <v>2.9048745315293445</v>
      </c>
      <c r="V295" s="218" t="s">
        <v>242</v>
      </c>
      <c r="W295" s="221"/>
      <c r="X295" s="26">
        <v>0</v>
      </c>
      <c r="Y295" s="27">
        <v>0</v>
      </c>
      <c r="Z295" s="28">
        <v>0</v>
      </c>
      <c r="AA295" s="29">
        <v>0</v>
      </c>
      <c r="AB295" s="320" t="s">
        <v>343</v>
      </c>
    </row>
    <row r="296" spans="1:28" s="20" customFormat="1" x14ac:dyDescent="0.3">
      <c r="A296" s="39">
        <v>44490</v>
      </c>
      <c r="B296" s="40">
        <v>8.8000000000000007</v>
      </c>
      <c r="C296" s="14">
        <v>15.3</v>
      </c>
      <c r="D296" s="14">
        <v>12.4</v>
      </c>
      <c r="E296" s="14">
        <v>15.5</v>
      </c>
      <c r="F296" s="14">
        <v>7.9</v>
      </c>
      <c r="G296" s="64">
        <f t="shared" si="20"/>
        <v>7.6</v>
      </c>
      <c r="H296" s="64">
        <f t="shared" si="21"/>
        <v>12.225000000000001</v>
      </c>
      <c r="I296" s="78">
        <v>11.741180555555593</v>
      </c>
      <c r="J296" s="14">
        <v>10.3</v>
      </c>
      <c r="K296" s="14">
        <v>5.8</v>
      </c>
      <c r="L296" s="78">
        <v>8.100277777777773</v>
      </c>
      <c r="M296" s="84">
        <v>93.5</v>
      </c>
      <c r="N296" s="24">
        <v>68.5</v>
      </c>
      <c r="O296" s="80">
        <v>78.685138888888758</v>
      </c>
      <c r="P296" s="117">
        <v>1015.31423419179</v>
      </c>
      <c r="Q296" s="21">
        <v>1005.59962526496</v>
      </c>
      <c r="R296" s="66">
        <v>1009.0159420651323</v>
      </c>
      <c r="S296" s="71">
        <v>13.600033802676888</v>
      </c>
      <c r="T296" s="61">
        <v>8.478592501983945</v>
      </c>
      <c r="U296" s="25">
        <v>4.0774158883233413</v>
      </c>
      <c r="V296" s="218" t="s">
        <v>232</v>
      </c>
      <c r="W296" s="221" t="s">
        <v>213</v>
      </c>
      <c r="X296" s="26">
        <v>1.2</v>
      </c>
      <c r="Y296" s="27">
        <v>0.1</v>
      </c>
      <c r="Z296" s="28">
        <v>0</v>
      </c>
      <c r="AA296" s="29">
        <v>0</v>
      </c>
      <c r="AB296" s="320" t="s">
        <v>209</v>
      </c>
    </row>
    <row r="297" spans="1:28" s="20" customFormat="1" x14ac:dyDescent="0.3">
      <c r="A297" s="39">
        <v>44491</v>
      </c>
      <c r="B297" s="40">
        <v>2.8</v>
      </c>
      <c r="C297" s="14">
        <v>18</v>
      </c>
      <c r="D297" s="14">
        <v>6.2</v>
      </c>
      <c r="E297" s="14">
        <v>18.8</v>
      </c>
      <c r="F297" s="14">
        <v>2.5</v>
      </c>
      <c r="G297" s="64">
        <f t="shared" si="20"/>
        <v>16.3</v>
      </c>
      <c r="H297" s="64">
        <f t="shared" si="21"/>
        <v>8.3000000000000007</v>
      </c>
      <c r="I297" s="78">
        <v>9.8090972222222454</v>
      </c>
      <c r="J297" s="14">
        <v>9.6</v>
      </c>
      <c r="K297" s="14">
        <v>1.8</v>
      </c>
      <c r="L297" s="78">
        <v>5.3489583333333393</v>
      </c>
      <c r="M297" s="84">
        <v>98.5</v>
      </c>
      <c r="N297" s="24">
        <v>45.6</v>
      </c>
      <c r="O297" s="80">
        <v>76.51000000000009</v>
      </c>
      <c r="P297" s="117">
        <v>1016.44333374989</v>
      </c>
      <c r="Q297" s="21">
        <v>1009.76042725975</v>
      </c>
      <c r="R297" s="66">
        <v>1012.7366342718493</v>
      </c>
      <c r="S297" s="71">
        <v>10.900027091851305</v>
      </c>
      <c r="T297" s="61">
        <v>6.8714456503020838</v>
      </c>
      <c r="U297" s="25">
        <v>1.7807583943018335</v>
      </c>
      <c r="V297" s="218" t="s">
        <v>303</v>
      </c>
      <c r="W297" s="221"/>
      <c r="X297" s="26">
        <v>0</v>
      </c>
      <c r="Y297" s="27">
        <v>0</v>
      </c>
      <c r="Z297" s="28">
        <v>0</v>
      </c>
      <c r="AA297" s="29">
        <v>0</v>
      </c>
      <c r="AB297" s="320" t="s">
        <v>353</v>
      </c>
    </row>
    <row r="298" spans="1:28" s="20" customFormat="1" x14ac:dyDescent="0.3">
      <c r="A298" s="39">
        <v>44492</v>
      </c>
      <c r="B298" s="40">
        <v>2.5</v>
      </c>
      <c r="C298" s="14">
        <v>14.6</v>
      </c>
      <c r="D298" s="14">
        <v>6.3</v>
      </c>
      <c r="E298" s="14">
        <v>17.3</v>
      </c>
      <c r="F298" s="14">
        <v>1.9</v>
      </c>
      <c r="G298" s="64">
        <f t="shared" si="20"/>
        <v>15.4</v>
      </c>
      <c r="H298" s="64">
        <f t="shared" si="21"/>
        <v>7.4250000000000007</v>
      </c>
      <c r="I298" s="78">
        <v>7.2317436661699013</v>
      </c>
      <c r="J298" s="14">
        <v>6.1</v>
      </c>
      <c r="K298" s="14">
        <v>-0.4</v>
      </c>
      <c r="L298" s="78">
        <v>1.8862891207153496</v>
      </c>
      <c r="M298" s="84">
        <v>92.9</v>
      </c>
      <c r="N298" s="24">
        <v>40.9</v>
      </c>
      <c r="O298" s="80">
        <v>71.292995529061031</v>
      </c>
      <c r="P298" s="117">
        <v>1029.47549383467</v>
      </c>
      <c r="Q298" s="21">
        <v>1016.28973058642</v>
      </c>
      <c r="R298" s="66">
        <v>1022.3899883423788</v>
      </c>
      <c r="S298" s="71">
        <v>7.1000176469857221</v>
      </c>
      <c r="T298" s="61">
        <v>4.5714399336728881</v>
      </c>
      <c r="U298" s="25">
        <v>1.3254352553279753</v>
      </c>
      <c r="V298" s="218" t="s">
        <v>238</v>
      </c>
      <c r="W298" s="221" t="s">
        <v>224</v>
      </c>
      <c r="X298" s="26">
        <v>0</v>
      </c>
      <c r="Y298" s="27">
        <v>0</v>
      </c>
      <c r="Z298" s="28">
        <v>0</v>
      </c>
      <c r="AA298" s="29">
        <v>0</v>
      </c>
      <c r="AB298" s="320" t="s">
        <v>524</v>
      </c>
    </row>
    <row r="299" spans="1:28" s="20" customFormat="1" x14ac:dyDescent="0.3">
      <c r="A299" s="39">
        <v>44493</v>
      </c>
      <c r="B299" s="40">
        <v>2.1</v>
      </c>
      <c r="C299" s="14">
        <v>13.6</v>
      </c>
      <c r="D299" s="14">
        <v>0.3</v>
      </c>
      <c r="E299" s="14">
        <v>14.6</v>
      </c>
      <c r="F299" s="14">
        <v>-2.2000000000000002</v>
      </c>
      <c r="G299" s="64">
        <f t="shared" si="20"/>
        <v>16.8</v>
      </c>
      <c r="H299" s="64">
        <f t="shared" si="21"/>
        <v>4.0750000000000002</v>
      </c>
      <c r="I299" s="78">
        <v>4.8236111111111102</v>
      </c>
      <c r="J299" s="14">
        <v>7.5</v>
      </c>
      <c r="K299" s="14">
        <v>-3.2</v>
      </c>
      <c r="L299" s="78">
        <v>1.4961805555555552</v>
      </c>
      <c r="M299" s="84">
        <v>96.2</v>
      </c>
      <c r="N299" s="24">
        <v>46.4</v>
      </c>
      <c r="O299" s="80">
        <v>80.900555555555528</v>
      </c>
      <c r="P299" s="117">
        <v>1033.2795532837399</v>
      </c>
      <c r="Q299" s="21">
        <v>1029.4684755810499</v>
      </c>
      <c r="R299" s="66">
        <v>1032.0671521336951</v>
      </c>
      <c r="S299" s="71">
        <v>4.8000119303565558</v>
      </c>
      <c r="T299" s="61">
        <v>2.7714354597891973</v>
      </c>
      <c r="U299" s="25">
        <v>0.76333275042652782</v>
      </c>
      <c r="V299" s="218" t="s">
        <v>238</v>
      </c>
      <c r="W299" s="221"/>
      <c r="X299" s="26">
        <v>0</v>
      </c>
      <c r="Y299" s="27">
        <v>0</v>
      </c>
      <c r="Z299" s="28">
        <v>0</v>
      </c>
      <c r="AA299" s="29">
        <v>0</v>
      </c>
      <c r="AB299" s="320" t="s">
        <v>209</v>
      </c>
    </row>
    <row r="300" spans="1:28" s="20" customFormat="1" x14ac:dyDescent="0.3">
      <c r="A300" s="39">
        <v>44494</v>
      </c>
      <c r="B300" s="40">
        <v>-2.6</v>
      </c>
      <c r="C300" s="14">
        <v>12</v>
      </c>
      <c r="D300" s="14">
        <v>4.2</v>
      </c>
      <c r="E300" s="14">
        <v>12.2</v>
      </c>
      <c r="F300" s="14">
        <v>-3.3</v>
      </c>
      <c r="G300" s="64">
        <f t="shared" si="20"/>
        <v>15.5</v>
      </c>
      <c r="H300" s="64">
        <f t="shared" si="21"/>
        <v>4.45</v>
      </c>
      <c r="I300" s="78">
        <v>4.162152777777778</v>
      </c>
      <c r="J300" s="14">
        <v>4.0999999999999996</v>
      </c>
      <c r="K300" s="14">
        <v>-4.3</v>
      </c>
      <c r="L300" s="78">
        <v>-0.11604166666666668</v>
      </c>
      <c r="M300" s="84">
        <v>96.7</v>
      </c>
      <c r="N300" s="24">
        <v>52.9</v>
      </c>
      <c r="O300" s="80">
        <v>75.961597222222125</v>
      </c>
      <c r="P300" s="117">
        <v>1033.1824563011</v>
      </c>
      <c r="Q300" s="21">
        <v>1026.42551434385</v>
      </c>
      <c r="R300" s="66">
        <v>1029.5216861191338</v>
      </c>
      <c r="S300" s="71">
        <v>9.2000228665167221</v>
      </c>
      <c r="T300" s="61">
        <v>5.5857281689565692</v>
      </c>
      <c r="U300" s="25">
        <v>1.8029992729938986</v>
      </c>
      <c r="V300" s="218" t="s">
        <v>232</v>
      </c>
      <c r="W300" s="221"/>
      <c r="X300" s="26">
        <v>0</v>
      </c>
      <c r="Y300" s="27">
        <v>0</v>
      </c>
      <c r="Z300" s="28">
        <v>0</v>
      </c>
      <c r="AA300" s="29">
        <v>0</v>
      </c>
      <c r="AB300" s="320" t="s">
        <v>525</v>
      </c>
    </row>
    <row r="301" spans="1:28" s="20" customFormat="1" x14ac:dyDescent="0.3">
      <c r="A301" s="39">
        <v>44495</v>
      </c>
      <c r="B301" s="40">
        <v>-2.7</v>
      </c>
      <c r="C301" s="14">
        <v>13.4</v>
      </c>
      <c r="D301" s="14">
        <v>1.6</v>
      </c>
      <c r="E301" s="14">
        <v>14.2</v>
      </c>
      <c r="F301" s="14">
        <v>-2.8</v>
      </c>
      <c r="G301" s="64">
        <f t="shared" si="20"/>
        <v>17</v>
      </c>
      <c r="H301" s="64">
        <f t="shared" si="21"/>
        <v>3.4749999999999996</v>
      </c>
      <c r="I301" s="78">
        <v>4.2174305555555591</v>
      </c>
      <c r="J301" s="14">
        <v>5</v>
      </c>
      <c r="K301" s="14">
        <v>-3.7</v>
      </c>
      <c r="L301" s="78">
        <v>0.47715277777777715</v>
      </c>
      <c r="M301" s="84">
        <v>96</v>
      </c>
      <c r="N301" s="24">
        <v>51.3</v>
      </c>
      <c r="O301" s="80">
        <v>78.83826388888896</v>
      </c>
      <c r="P301" s="117">
        <v>1026.8467610643399</v>
      </c>
      <c r="Q301" s="21">
        <v>1021.50515775774</v>
      </c>
      <c r="R301" s="66">
        <v>1024.4250793152694</v>
      </c>
      <c r="S301" s="71">
        <v>5.8000144158475004</v>
      </c>
      <c r="T301" s="61">
        <v>3.974117020464472</v>
      </c>
      <c r="U301" s="25">
        <v>1.1559986569472136</v>
      </c>
      <c r="V301" s="218" t="s">
        <v>232</v>
      </c>
      <c r="W301" s="221"/>
      <c r="X301" s="26">
        <v>0</v>
      </c>
      <c r="Y301" s="27">
        <v>0</v>
      </c>
      <c r="Z301" s="28">
        <v>0</v>
      </c>
      <c r="AA301" s="29">
        <v>0</v>
      </c>
      <c r="AB301" s="320" t="s">
        <v>286</v>
      </c>
    </row>
    <row r="302" spans="1:28" s="20" customFormat="1" x14ac:dyDescent="0.3">
      <c r="A302" s="39">
        <v>44496</v>
      </c>
      <c r="B302" s="40">
        <v>-1.3</v>
      </c>
      <c r="C302" s="14">
        <v>14.8</v>
      </c>
      <c r="D302" s="14">
        <v>2.7</v>
      </c>
      <c r="E302" s="14">
        <v>15</v>
      </c>
      <c r="F302" s="14">
        <v>-2.8</v>
      </c>
      <c r="G302" s="64">
        <f t="shared" si="20"/>
        <v>17.8</v>
      </c>
      <c r="H302" s="64">
        <f t="shared" si="21"/>
        <v>4.7249999999999996</v>
      </c>
      <c r="I302" s="78">
        <v>4.4694444444444406</v>
      </c>
      <c r="J302" s="14">
        <v>7.2</v>
      </c>
      <c r="K302" s="14">
        <v>-3.7</v>
      </c>
      <c r="L302" s="78">
        <v>1.40645833333333</v>
      </c>
      <c r="M302" s="84">
        <v>95.9</v>
      </c>
      <c r="N302" s="24">
        <v>56.2</v>
      </c>
      <c r="O302" s="80">
        <v>82.311458333333434</v>
      </c>
      <c r="P302" s="117">
        <v>1028.9411485015501</v>
      </c>
      <c r="Q302" s="21">
        <v>1025.5636704461599</v>
      </c>
      <c r="R302" s="66">
        <v>1027.2946910962507</v>
      </c>
      <c r="S302" s="71">
        <v>4.4000109361601663</v>
      </c>
      <c r="T302" s="61">
        <v>3.3714369510837638</v>
      </c>
      <c r="U302" s="25">
        <v>0.83983343659956466</v>
      </c>
      <c r="V302" s="218" t="s">
        <v>303</v>
      </c>
      <c r="W302" s="221"/>
      <c r="X302" s="26">
        <v>0</v>
      </c>
      <c r="Y302" s="27">
        <v>0</v>
      </c>
      <c r="Z302" s="28">
        <v>0</v>
      </c>
      <c r="AA302" s="29">
        <v>0</v>
      </c>
      <c r="AB302" s="320" t="s">
        <v>291</v>
      </c>
    </row>
    <row r="303" spans="1:28" s="20" customFormat="1" x14ac:dyDescent="0.3">
      <c r="A303" s="39">
        <v>44497</v>
      </c>
      <c r="B303" s="40">
        <v>0</v>
      </c>
      <c r="C303" s="14">
        <v>13.9</v>
      </c>
      <c r="D303" s="14">
        <v>1.3</v>
      </c>
      <c r="E303" s="14">
        <v>14.6</v>
      </c>
      <c r="F303" s="14">
        <v>-1.5</v>
      </c>
      <c r="G303" s="64">
        <f t="shared" si="20"/>
        <v>16.100000000000001</v>
      </c>
      <c r="H303" s="64">
        <f t="shared" si="21"/>
        <v>4.125</v>
      </c>
      <c r="I303" s="78">
        <v>3.8512500000000078</v>
      </c>
      <c r="J303" s="14">
        <v>7.1</v>
      </c>
      <c r="K303" s="14">
        <v>-2.4</v>
      </c>
      <c r="L303" s="78">
        <v>1.4811805555555588</v>
      </c>
      <c r="M303" s="84">
        <v>95.9</v>
      </c>
      <c r="N303" s="24">
        <v>58.1</v>
      </c>
      <c r="O303" s="80">
        <v>85.870833333333294</v>
      </c>
      <c r="P303" s="117">
        <v>1030.1432989969901</v>
      </c>
      <c r="Q303" s="21">
        <v>1025.6981159156901</v>
      </c>
      <c r="R303" s="66">
        <v>1027.7431913657176</v>
      </c>
      <c r="S303" s="71">
        <v>3.7000091963165</v>
      </c>
      <c r="T303" s="61">
        <v>2.0026835490680304</v>
      </c>
      <c r="U303" s="25">
        <v>0.5615217329553025</v>
      </c>
      <c r="V303" s="218" t="s">
        <v>268</v>
      </c>
      <c r="W303" s="221"/>
      <c r="X303" s="26">
        <v>0</v>
      </c>
      <c r="Y303" s="27">
        <v>0</v>
      </c>
      <c r="Z303" s="28">
        <v>0</v>
      </c>
      <c r="AA303" s="29">
        <v>0</v>
      </c>
      <c r="AB303" s="320" t="s">
        <v>390</v>
      </c>
    </row>
    <row r="304" spans="1:28" s="20" customFormat="1" x14ac:dyDescent="0.3">
      <c r="A304" s="39">
        <v>44498</v>
      </c>
      <c r="B304" s="40">
        <v>-1.2</v>
      </c>
      <c r="C304" s="14">
        <v>16.600000000000001</v>
      </c>
      <c r="D304" s="14">
        <v>2.2999999999999998</v>
      </c>
      <c r="E304" s="14">
        <v>17.100000000000001</v>
      </c>
      <c r="F304" s="14">
        <v>-1.9</v>
      </c>
      <c r="G304" s="64">
        <f t="shared" si="20"/>
        <v>19</v>
      </c>
      <c r="H304" s="64">
        <f t="shared" si="21"/>
        <v>5</v>
      </c>
      <c r="I304" s="78">
        <v>4.3983333333333308</v>
      </c>
      <c r="J304" s="14">
        <v>8</v>
      </c>
      <c r="K304" s="14">
        <v>-2.7</v>
      </c>
      <c r="L304" s="78">
        <v>1.1520138888888927</v>
      </c>
      <c r="M304" s="84">
        <v>95.9</v>
      </c>
      <c r="N304" s="24">
        <v>43</v>
      </c>
      <c r="O304" s="80">
        <v>82.188611111110944</v>
      </c>
      <c r="P304" s="117">
        <v>1026.8850070595799</v>
      </c>
      <c r="Q304" s="21">
        <v>1021.12056326507</v>
      </c>
      <c r="R304" s="66">
        <v>1024.0144007266294</v>
      </c>
      <c r="S304" s="71">
        <v>7.1000176469857221</v>
      </c>
      <c r="T304" s="61">
        <v>4.4428681855383481</v>
      </c>
      <c r="U304" s="25">
        <v>0.80088864734256682</v>
      </c>
      <c r="V304" s="218" t="s">
        <v>268</v>
      </c>
      <c r="W304" s="221"/>
      <c r="X304" s="26">
        <v>0</v>
      </c>
      <c r="Y304" s="27">
        <v>0</v>
      </c>
      <c r="Z304" s="28">
        <v>0</v>
      </c>
      <c r="AA304" s="29">
        <v>0</v>
      </c>
      <c r="AB304" s="320" t="s">
        <v>269</v>
      </c>
    </row>
    <row r="305" spans="1:28" s="20" customFormat="1" x14ac:dyDescent="0.3">
      <c r="A305" s="39">
        <v>44499</v>
      </c>
      <c r="B305" s="40">
        <v>-3.3</v>
      </c>
      <c r="C305" s="14">
        <v>16.2</v>
      </c>
      <c r="D305" s="14">
        <v>4.3</v>
      </c>
      <c r="E305" s="14">
        <v>16.600000000000001</v>
      </c>
      <c r="F305" s="14">
        <v>-3.3</v>
      </c>
      <c r="G305" s="64">
        <f t="shared" si="20"/>
        <v>19.900000000000002</v>
      </c>
      <c r="H305" s="64">
        <f t="shared" si="21"/>
        <v>5.375</v>
      </c>
      <c r="I305" s="78">
        <v>5.487638888888883</v>
      </c>
      <c r="J305" s="14">
        <v>7.5</v>
      </c>
      <c r="K305" s="14">
        <v>-4.2</v>
      </c>
      <c r="L305" s="78">
        <v>1.7611805555555577</v>
      </c>
      <c r="M305" s="84">
        <v>96.1</v>
      </c>
      <c r="N305" s="24">
        <v>52.3</v>
      </c>
      <c r="O305" s="80">
        <v>79.403263888889015</v>
      </c>
      <c r="P305" s="117">
        <v>1023.4365885150301</v>
      </c>
      <c r="Q305" s="21">
        <v>1019.36997190027</v>
      </c>
      <c r="R305" s="66">
        <v>1021.6364495790581</v>
      </c>
      <c r="S305" s="71">
        <v>9.2000228665167221</v>
      </c>
      <c r="T305" s="61">
        <v>5.6000139187493057</v>
      </c>
      <c r="U305" s="25">
        <v>1.4613751600034799</v>
      </c>
      <c r="V305" s="218" t="s">
        <v>268</v>
      </c>
      <c r="W305" s="221"/>
      <c r="X305" s="26">
        <v>0</v>
      </c>
      <c r="Y305" s="27">
        <v>0</v>
      </c>
      <c r="Z305" s="28">
        <v>0</v>
      </c>
      <c r="AA305" s="29">
        <v>0</v>
      </c>
      <c r="AB305" s="320" t="s">
        <v>527</v>
      </c>
    </row>
    <row r="306" spans="1:28" s="399" customFormat="1" ht="15" thickBot="1" x14ac:dyDescent="0.35">
      <c r="A306" s="427">
        <v>44500</v>
      </c>
      <c r="B306" s="379">
        <v>-1.7</v>
      </c>
      <c r="C306" s="380">
        <v>16.5</v>
      </c>
      <c r="D306" s="380">
        <v>1.8</v>
      </c>
      <c r="E306" s="380">
        <v>17.8</v>
      </c>
      <c r="F306" s="380">
        <v>-1.7</v>
      </c>
      <c r="G306" s="381">
        <f>E306-F306</f>
        <v>19.5</v>
      </c>
      <c r="H306" s="381">
        <f t="shared" si="21"/>
        <v>4.6000000000000005</v>
      </c>
      <c r="I306" s="382">
        <v>5.9384027777777781</v>
      </c>
      <c r="J306" s="380">
        <v>9.1</v>
      </c>
      <c r="K306" s="380">
        <v>-2.5</v>
      </c>
      <c r="L306" s="382">
        <v>2.4133333333333398</v>
      </c>
      <c r="M306" s="383">
        <v>97.2</v>
      </c>
      <c r="N306" s="384">
        <v>49.9</v>
      </c>
      <c r="O306" s="385">
        <v>80.497222222222149</v>
      </c>
      <c r="P306" s="386">
        <v>1022.18826365035</v>
      </c>
      <c r="Q306" s="387">
        <v>1015.99163968531</v>
      </c>
      <c r="R306" s="388">
        <v>1018.836639244973</v>
      </c>
      <c r="S306" s="389">
        <v>8.5000211266730545</v>
      </c>
      <c r="T306" s="390">
        <v>5.1035841134520137</v>
      </c>
      <c r="U306" s="391">
        <v>1.1600971294354903</v>
      </c>
      <c r="V306" s="392" t="s">
        <v>268</v>
      </c>
      <c r="W306" s="393"/>
      <c r="X306" s="394">
        <v>0</v>
      </c>
      <c r="Y306" s="395">
        <v>0</v>
      </c>
      <c r="Z306" s="396">
        <v>0</v>
      </c>
      <c r="AA306" s="397">
        <v>0</v>
      </c>
      <c r="AB306" s="398" t="s">
        <v>526</v>
      </c>
    </row>
    <row r="307" spans="1:28" s="417" customFormat="1" x14ac:dyDescent="0.3">
      <c r="A307" s="428">
        <v>44501</v>
      </c>
      <c r="B307" s="400">
        <v>-2.6</v>
      </c>
      <c r="C307" s="401">
        <v>12.1</v>
      </c>
      <c r="D307" s="401">
        <v>5.5</v>
      </c>
      <c r="E307" s="401">
        <v>12.7</v>
      </c>
      <c r="F307" s="401">
        <v>-3.4</v>
      </c>
      <c r="G307" s="402">
        <f>E307-F307</f>
        <v>16.099999999999998</v>
      </c>
      <c r="H307" s="402">
        <f>(B307+C307+2*D307)/4</f>
        <v>5.125</v>
      </c>
      <c r="I307" s="403">
        <v>3.8616961130742018</v>
      </c>
      <c r="J307" s="401">
        <v>6.1</v>
      </c>
      <c r="K307" s="401">
        <v>-4.3</v>
      </c>
      <c r="L307" s="403">
        <v>1.3603533568904622</v>
      </c>
      <c r="M307" s="404">
        <v>98.2</v>
      </c>
      <c r="N307" s="405">
        <v>62.9</v>
      </c>
      <c r="O307" s="406">
        <v>84.813427561837415</v>
      </c>
      <c r="P307" s="407">
        <v>1016.11972286276</v>
      </c>
      <c r="Q307" s="408">
        <v>1008.64234360147</v>
      </c>
      <c r="R307" s="409">
        <v>1011.8420091274659</v>
      </c>
      <c r="S307" s="372">
        <v>9.2000228665167221</v>
      </c>
      <c r="T307" s="410">
        <v>5.912514695465223</v>
      </c>
      <c r="U307" s="373">
        <v>1.7173653795966048</v>
      </c>
      <c r="V307" s="374" t="s">
        <v>233</v>
      </c>
      <c r="W307" s="411" t="s">
        <v>262</v>
      </c>
      <c r="X307" s="412">
        <v>1.2</v>
      </c>
      <c r="Y307" s="413">
        <v>0.1</v>
      </c>
      <c r="Z307" s="414">
        <v>0</v>
      </c>
      <c r="AA307" s="415">
        <v>0</v>
      </c>
      <c r="AB307" s="416" t="s">
        <v>462</v>
      </c>
    </row>
    <row r="308" spans="1:28" s="20" customFormat="1" x14ac:dyDescent="0.3">
      <c r="A308" s="429">
        <v>44502</v>
      </c>
      <c r="B308" s="40">
        <v>7.1</v>
      </c>
      <c r="C308" s="14">
        <v>10.199999999999999</v>
      </c>
      <c r="D308" s="14">
        <v>6</v>
      </c>
      <c r="E308" s="14">
        <v>11</v>
      </c>
      <c r="F308" s="14">
        <v>0.7</v>
      </c>
      <c r="G308" s="76">
        <f>E308-F308</f>
        <v>10.3</v>
      </c>
      <c r="H308" s="76">
        <f>(B308+C308+2*D308)/4</f>
        <v>7.3249999999999993</v>
      </c>
      <c r="I308" s="78">
        <v>6.5777083333333861</v>
      </c>
      <c r="J308" s="14">
        <v>5.4</v>
      </c>
      <c r="K308" s="14">
        <v>-0.2</v>
      </c>
      <c r="L308" s="78">
        <v>3.6656249999999813</v>
      </c>
      <c r="M308" s="84">
        <v>95.1</v>
      </c>
      <c r="N308" s="24">
        <v>60.5</v>
      </c>
      <c r="O308" s="80">
        <v>82.90958333333343</v>
      </c>
      <c r="P308" s="117">
        <v>1008.6152753436201</v>
      </c>
      <c r="Q308" s="21">
        <v>1001.61195016815</v>
      </c>
      <c r="R308" s="66">
        <v>1004.1064287580801</v>
      </c>
      <c r="S308" s="71">
        <v>8.5000211266730545</v>
      </c>
      <c r="T308" s="61">
        <v>4.4553682166069857</v>
      </c>
      <c r="U308" s="25">
        <v>1.1723532776228307</v>
      </c>
      <c r="V308" s="218" t="s">
        <v>233</v>
      </c>
      <c r="W308" s="219" t="s">
        <v>213</v>
      </c>
      <c r="X308" s="16">
        <v>4.8</v>
      </c>
      <c r="Y308" s="17">
        <v>10</v>
      </c>
      <c r="Z308" s="18">
        <v>0</v>
      </c>
      <c r="AA308" s="43">
        <v>0</v>
      </c>
      <c r="AB308" s="319" t="s">
        <v>212</v>
      </c>
    </row>
    <row r="309" spans="1:28" s="20" customFormat="1" x14ac:dyDescent="0.3">
      <c r="A309" s="429">
        <v>44503</v>
      </c>
      <c r="B309" s="40">
        <v>5.3</v>
      </c>
      <c r="C309" s="14">
        <v>8</v>
      </c>
      <c r="D309" s="14">
        <v>4.7</v>
      </c>
      <c r="E309" s="14">
        <v>8.9</v>
      </c>
      <c r="F309" s="14">
        <v>4.5</v>
      </c>
      <c r="G309" s="76">
        <f t="shared" ref="G309:G336" si="22">E309-F309</f>
        <v>4.4000000000000004</v>
      </c>
      <c r="H309" s="76">
        <f t="shared" ref="H309:H335" si="23">(B309+C309+2*D309)/4</f>
        <v>5.6750000000000007</v>
      </c>
      <c r="I309" s="78">
        <v>6.2524305555555886</v>
      </c>
      <c r="J309" s="14">
        <v>7.2</v>
      </c>
      <c r="K309" s="14">
        <v>3.8</v>
      </c>
      <c r="L309" s="78">
        <v>5.2907638888888675</v>
      </c>
      <c r="M309" s="84">
        <v>96.7</v>
      </c>
      <c r="N309" s="24">
        <v>85</v>
      </c>
      <c r="O309" s="80">
        <v>93.608541666666696</v>
      </c>
      <c r="P309" s="117">
        <v>1012.75105021049</v>
      </c>
      <c r="Q309" s="21">
        <v>1005.47775017779</v>
      </c>
      <c r="R309" s="66">
        <v>1010.5809390953647</v>
      </c>
      <c r="S309" s="71">
        <v>8.2000203810257499</v>
      </c>
      <c r="T309" s="61">
        <v>5.0000124274547364</v>
      </c>
      <c r="U309" s="25">
        <v>1.6590753041619546</v>
      </c>
      <c r="V309" s="218" t="s">
        <v>231</v>
      </c>
      <c r="W309" s="219"/>
      <c r="X309" s="16">
        <v>0</v>
      </c>
      <c r="Y309" s="17">
        <v>0</v>
      </c>
      <c r="Z309" s="18">
        <v>0</v>
      </c>
      <c r="AA309" s="43">
        <v>0</v>
      </c>
      <c r="AB309" s="319" t="s">
        <v>212</v>
      </c>
    </row>
    <row r="310" spans="1:28" s="20" customFormat="1" x14ac:dyDescent="0.3">
      <c r="A310" s="429">
        <v>44504</v>
      </c>
      <c r="B310" s="40">
        <v>10.8</v>
      </c>
      <c r="C310" s="14">
        <v>12.3</v>
      </c>
      <c r="D310" s="14">
        <v>13.1</v>
      </c>
      <c r="E310" s="14">
        <v>14.6</v>
      </c>
      <c r="F310" s="14">
        <v>4.9000000000000004</v>
      </c>
      <c r="G310" s="76">
        <f t="shared" si="22"/>
        <v>9.6999999999999993</v>
      </c>
      <c r="H310" s="76">
        <f t="shared" si="23"/>
        <v>12.324999999999999</v>
      </c>
      <c r="I310" s="78">
        <v>11.559861111111115</v>
      </c>
      <c r="J310" s="14">
        <v>12.4</v>
      </c>
      <c r="K310" s="14">
        <v>4.3</v>
      </c>
      <c r="L310" s="78">
        <v>9.056041666666621</v>
      </c>
      <c r="M310" s="84">
        <v>96.9</v>
      </c>
      <c r="N310" s="24">
        <v>70.8</v>
      </c>
      <c r="O310" s="80">
        <v>84.848333333333244</v>
      </c>
      <c r="P310" s="117">
        <v>1012.18133828901</v>
      </c>
      <c r="Q310" s="21">
        <v>1005.16755477546</v>
      </c>
      <c r="R310" s="66">
        <v>1008.0013277802985</v>
      </c>
      <c r="S310" s="72">
        <v>13.600033802676888</v>
      </c>
      <c r="T310" s="62">
        <v>8.4375209713298602</v>
      </c>
      <c r="U310" s="19">
        <v>4.1827918942814168</v>
      </c>
      <c r="V310" s="218" t="s">
        <v>232</v>
      </c>
      <c r="W310" s="220" t="s">
        <v>213</v>
      </c>
      <c r="X310" s="16">
        <v>4.8</v>
      </c>
      <c r="Y310" s="17">
        <v>4.0999999999999996</v>
      </c>
      <c r="Z310" s="18">
        <v>0</v>
      </c>
      <c r="AA310" s="43">
        <v>0</v>
      </c>
      <c r="AB310" s="319" t="s">
        <v>212</v>
      </c>
    </row>
    <row r="311" spans="1:28" s="20" customFormat="1" x14ac:dyDescent="0.3">
      <c r="A311" s="429">
        <v>44505</v>
      </c>
      <c r="B311" s="40">
        <v>6.4</v>
      </c>
      <c r="C311" s="14">
        <v>13.6</v>
      </c>
      <c r="D311" s="14">
        <v>3</v>
      </c>
      <c r="E311" s="14">
        <v>14.7</v>
      </c>
      <c r="F311" s="14">
        <v>0.4</v>
      </c>
      <c r="G311" s="76">
        <f t="shared" si="22"/>
        <v>14.299999999999999</v>
      </c>
      <c r="H311" s="76">
        <f t="shared" si="23"/>
        <v>6.5</v>
      </c>
      <c r="I311" s="78">
        <v>8.1789583333333447</v>
      </c>
      <c r="J311" s="14">
        <v>11</v>
      </c>
      <c r="K311" s="14">
        <v>-0.4</v>
      </c>
      <c r="L311" s="78">
        <v>6.1365277777778084</v>
      </c>
      <c r="M311" s="84">
        <v>97.5</v>
      </c>
      <c r="N311" s="24">
        <v>59.6</v>
      </c>
      <c r="O311" s="80">
        <v>87.636388888889073</v>
      </c>
      <c r="P311" s="117">
        <v>1026.0366877419101</v>
      </c>
      <c r="Q311" s="21">
        <v>1012.08442088393</v>
      </c>
      <c r="R311" s="66">
        <v>1018.1427168317352</v>
      </c>
      <c r="S311" s="71">
        <v>5.1000126760038338</v>
      </c>
      <c r="T311" s="61">
        <v>3.2794724367930832</v>
      </c>
      <c r="U311" s="25">
        <v>0.789560494186615</v>
      </c>
      <c r="V311" s="218" t="s">
        <v>237</v>
      </c>
      <c r="W311" s="220"/>
      <c r="X311" s="16">
        <v>0</v>
      </c>
      <c r="Y311" s="17">
        <v>0</v>
      </c>
      <c r="Z311" s="18">
        <v>0</v>
      </c>
      <c r="AA311" s="43">
        <v>0</v>
      </c>
      <c r="AB311" s="319" t="s">
        <v>270</v>
      </c>
    </row>
    <row r="312" spans="1:28" s="20" customFormat="1" x14ac:dyDescent="0.3">
      <c r="A312" s="429">
        <v>44506</v>
      </c>
      <c r="B312" s="40">
        <v>-2.5</v>
      </c>
      <c r="C312" s="14">
        <v>13</v>
      </c>
      <c r="D312" s="14">
        <v>0.2</v>
      </c>
      <c r="E312" s="14">
        <v>13.5</v>
      </c>
      <c r="F312" s="14">
        <v>-2.8</v>
      </c>
      <c r="G312" s="76">
        <f t="shared" si="22"/>
        <v>16.3</v>
      </c>
      <c r="H312" s="76">
        <f t="shared" si="23"/>
        <v>2.7250000000000001</v>
      </c>
      <c r="I312" s="78">
        <v>2.516944444444444</v>
      </c>
      <c r="J312" s="14">
        <v>6.1</v>
      </c>
      <c r="K312" s="14">
        <v>-3.5</v>
      </c>
      <c r="L312" s="78">
        <v>1.3055555555556096E-2</v>
      </c>
      <c r="M312" s="84">
        <v>96.7</v>
      </c>
      <c r="N312" s="24">
        <v>53.4</v>
      </c>
      <c r="O312" s="80">
        <v>85.310416666666683</v>
      </c>
      <c r="P312" s="117">
        <v>1030.16048028624</v>
      </c>
      <c r="Q312" s="21">
        <v>1026.06595332436</v>
      </c>
      <c r="R312" s="66">
        <v>1028.146509794396</v>
      </c>
      <c r="S312" s="71">
        <v>2.7000067108255554</v>
      </c>
      <c r="T312" s="61">
        <v>1.6785756006455168</v>
      </c>
      <c r="U312" s="25">
        <v>0.54923664951086182</v>
      </c>
      <c r="V312" s="218" t="s">
        <v>268</v>
      </c>
      <c r="W312" s="220" t="s">
        <v>262</v>
      </c>
      <c r="X312" s="16">
        <v>1.2</v>
      </c>
      <c r="Y312" s="17">
        <v>0.1</v>
      </c>
      <c r="Z312" s="18">
        <v>0</v>
      </c>
      <c r="AA312" s="43">
        <v>0</v>
      </c>
      <c r="AB312" s="319" t="s">
        <v>528</v>
      </c>
    </row>
    <row r="313" spans="1:28" s="20" customFormat="1" x14ac:dyDescent="0.3">
      <c r="A313" s="429">
        <v>44507</v>
      </c>
      <c r="B313" s="40">
        <v>-0.7</v>
      </c>
      <c r="C313" s="14">
        <v>10.4</v>
      </c>
      <c r="D313" s="14">
        <v>6.5</v>
      </c>
      <c r="E313" s="14">
        <v>11.3</v>
      </c>
      <c r="F313" s="14">
        <v>-2.4</v>
      </c>
      <c r="G313" s="76">
        <f t="shared" si="22"/>
        <v>13.700000000000001</v>
      </c>
      <c r="H313" s="76">
        <f t="shared" si="23"/>
        <v>5.6750000000000007</v>
      </c>
      <c r="I313" s="78">
        <v>4.0514583333333416</v>
      </c>
      <c r="J313" s="14">
        <v>7.1</v>
      </c>
      <c r="K313" s="14">
        <v>-3.2</v>
      </c>
      <c r="L313" s="78">
        <v>2.3707638888888907</v>
      </c>
      <c r="M313" s="84">
        <v>98</v>
      </c>
      <c r="N313" s="24">
        <v>69.099999999999994</v>
      </c>
      <c r="O313" s="80">
        <v>89.291805555555456</v>
      </c>
      <c r="P313" s="117">
        <v>1027.5446652472899</v>
      </c>
      <c r="Q313" s="21">
        <v>1014.8739824681001</v>
      </c>
      <c r="R313" s="66">
        <v>1019.441350459468</v>
      </c>
      <c r="S313" s="71">
        <v>9.2000228665167221</v>
      </c>
      <c r="T313" s="61">
        <v>6.0848365523399996</v>
      </c>
      <c r="U313" s="25">
        <v>1.7451246251790891</v>
      </c>
      <c r="V313" s="218" t="s">
        <v>232</v>
      </c>
      <c r="W313" s="220" t="s">
        <v>224</v>
      </c>
      <c r="X313" s="16">
        <v>0</v>
      </c>
      <c r="Y313" s="17">
        <v>0</v>
      </c>
      <c r="Z313" s="18">
        <v>0</v>
      </c>
      <c r="AA313" s="43">
        <v>0</v>
      </c>
      <c r="AB313" s="319" t="s">
        <v>270</v>
      </c>
    </row>
    <row r="314" spans="1:28" s="20" customFormat="1" x14ac:dyDescent="0.3">
      <c r="A314" s="429">
        <v>44508</v>
      </c>
      <c r="B314" s="40">
        <v>4.9000000000000004</v>
      </c>
      <c r="C314" s="14">
        <v>10.1</v>
      </c>
      <c r="D314" s="14">
        <v>5.6</v>
      </c>
      <c r="E314" s="14">
        <v>11.1</v>
      </c>
      <c r="F314" s="14">
        <v>4.5999999999999996</v>
      </c>
      <c r="G314" s="76">
        <f t="shared" si="22"/>
        <v>6.5</v>
      </c>
      <c r="H314" s="76">
        <f t="shared" si="23"/>
        <v>6.55</v>
      </c>
      <c r="I314" s="78">
        <v>6.752222222222211</v>
      </c>
      <c r="J314" s="14">
        <v>7.9</v>
      </c>
      <c r="K314" s="14">
        <v>3.6</v>
      </c>
      <c r="L314" s="78">
        <v>4.9710416666666468</v>
      </c>
      <c r="M314" s="84">
        <v>96.8</v>
      </c>
      <c r="N314" s="24">
        <v>69.400000000000006</v>
      </c>
      <c r="O314" s="80">
        <v>88.75291666666682</v>
      </c>
      <c r="P314" s="117">
        <v>1023.22461181184</v>
      </c>
      <c r="Q314" s="21">
        <v>1015.2460155121</v>
      </c>
      <c r="R314" s="66">
        <v>1018.8796752255447</v>
      </c>
      <c r="S314" s="71">
        <v>5.1000126760038338</v>
      </c>
      <c r="T314" s="61">
        <v>3.1642935790892079</v>
      </c>
      <c r="U314" s="25">
        <v>0.71803047182311353</v>
      </c>
      <c r="V314" s="218" t="s">
        <v>233</v>
      </c>
      <c r="W314" s="220" t="s">
        <v>213</v>
      </c>
      <c r="X314" s="16">
        <v>1.2</v>
      </c>
      <c r="Y314" s="17">
        <v>0.2</v>
      </c>
      <c r="Z314" s="18">
        <v>0</v>
      </c>
      <c r="AA314" s="43">
        <v>0</v>
      </c>
      <c r="AB314" s="319" t="s">
        <v>343</v>
      </c>
    </row>
    <row r="315" spans="1:28" s="20" customFormat="1" x14ac:dyDescent="0.3">
      <c r="A315" s="429">
        <v>44509</v>
      </c>
      <c r="B315" s="40">
        <v>3.1</v>
      </c>
      <c r="C315" s="14">
        <v>11.6</v>
      </c>
      <c r="D315" s="14">
        <v>3.5</v>
      </c>
      <c r="E315" s="14">
        <v>11.8</v>
      </c>
      <c r="F315" s="14">
        <v>0.3</v>
      </c>
      <c r="G315" s="76">
        <f t="shared" si="22"/>
        <v>11.5</v>
      </c>
      <c r="H315" s="76">
        <f t="shared" si="23"/>
        <v>5.4249999999999998</v>
      </c>
      <c r="I315" s="78">
        <v>5.5399999999999974</v>
      </c>
      <c r="J315" s="14">
        <v>7.7</v>
      </c>
      <c r="K315" s="14">
        <v>-0.5</v>
      </c>
      <c r="L315" s="78">
        <v>3.8033333333333399</v>
      </c>
      <c r="M315" s="84">
        <v>96.7</v>
      </c>
      <c r="N315" s="24">
        <v>71.599999999999994</v>
      </c>
      <c r="O315" s="80">
        <v>89.026250000000076</v>
      </c>
      <c r="P315" s="117">
        <v>1036.0898500969599</v>
      </c>
      <c r="Q315" s="21">
        <v>1023.18196872669</v>
      </c>
      <c r="R315" s="66">
        <v>1029.5406020324845</v>
      </c>
      <c r="S315" s="71">
        <v>4.8000119303565558</v>
      </c>
      <c r="T315" s="61">
        <v>1.9107190347773444</v>
      </c>
      <c r="U315" s="25">
        <v>0.57735345219897893</v>
      </c>
      <c r="V315" s="218" t="s">
        <v>240</v>
      </c>
      <c r="W315" s="220"/>
      <c r="X315" s="16">
        <v>0</v>
      </c>
      <c r="Y315" s="17">
        <v>0</v>
      </c>
      <c r="Z315" s="18">
        <v>0</v>
      </c>
      <c r="AA315" s="43">
        <v>0</v>
      </c>
      <c r="AB315" s="319" t="s">
        <v>343</v>
      </c>
    </row>
    <row r="316" spans="1:28" s="20" customFormat="1" x14ac:dyDescent="0.3">
      <c r="A316" s="429">
        <v>44510</v>
      </c>
      <c r="B316" s="40">
        <v>2.6</v>
      </c>
      <c r="C316" s="14">
        <v>6.2</v>
      </c>
      <c r="D316" s="14">
        <v>0.7</v>
      </c>
      <c r="E316" s="14">
        <v>6.5</v>
      </c>
      <c r="F316" s="14">
        <v>0.2</v>
      </c>
      <c r="G316" s="76">
        <f t="shared" si="22"/>
        <v>6.3</v>
      </c>
      <c r="H316" s="76">
        <f t="shared" si="23"/>
        <v>2.5500000000000003</v>
      </c>
      <c r="I316" s="78">
        <v>3.2200000000000029</v>
      </c>
      <c r="J316" s="14">
        <v>5</v>
      </c>
      <c r="K316" s="14">
        <v>-0.6</v>
      </c>
      <c r="L316" s="78">
        <v>2.4114583333333259</v>
      </c>
      <c r="M316" s="84">
        <v>97.2</v>
      </c>
      <c r="N316" s="24">
        <v>88.3</v>
      </c>
      <c r="O316" s="80">
        <v>94.490902777778061</v>
      </c>
      <c r="P316" s="117">
        <v>1036.0047224734401</v>
      </c>
      <c r="Q316" s="21">
        <v>1030.5288902044001</v>
      </c>
      <c r="R316" s="66">
        <v>1033.2447101038142</v>
      </c>
      <c r="S316" s="71">
        <v>9.2000228665167221</v>
      </c>
      <c r="T316" s="61">
        <v>6.3294800175404724</v>
      </c>
      <c r="U316" s="25">
        <v>1.6475239361654921</v>
      </c>
      <c r="V316" s="218" t="s">
        <v>233</v>
      </c>
      <c r="W316" s="220" t="s">
        <v>262</v>
      </c>
      <c r="X316" s="16">
        <v>1.2</v>
      </c>
      <c r="Y316" s="17">
        <v>0.1</v>
      </c>
      <c r="Z316" s="18">
        <v>0</v>
      </c>
      <c r="AA316" s="43">
        <v>0</v>
      </c>
      <c r="AB316" s="319" t="s">
        <v>529</v>
      </c>
    </row>
    <row r="317" spans="1:28" s="20" customFormat="1" x14ac:dyDescent="0.3">
      <c r="A317" s="429">
        <v>44511</v>
      </c>
      <c r="B317" s="40">
        <v>2</v>
      </c>
      <c r="C317" s="14">
        <v>8.6999999999999993</v>
      </c>
      <c r="D317" s="14">
        <v>2.2999999999999998</v>
      </c>
      <c r="E317" s="14">
        <v>8.8000000000000007</v>
      </c>
      <c r="F317" s="14">
        <v>1.3</v>
      </c>
      <c r="G317" s="76">
        <f t="shared" si="22"/>
        <v>7.5000000000000009</v>
      </c>
      <c r="H317" s="76">
        <f t="shared" si="23"/>
        <v>3.8249999999999997</v>
      </c>
      <c r="I317" s="78">
        <v>3.5340277777777551</v>
      </c>
      <c r="J317" s="14">
        <v>6</v>
      </c>
      <c r="K317" s="14">
        <v>0.4</v>
      </c>
      <c r="L317" s="78">
        <v>2.4677083333333316</v>
      </c>
      <c r="M317" s="84">
        <v>97.4</v>
      </c>
      <c r="N317" s="24">
        <v>78.400000000000006</v>
      </c>
      <c r="O317" s="80">
        <v>92.964305555555399</v>
      </c>
      <c r="P317" s="117">
        <v>1030.4264766684601</v>
      </c>
      <c r="Q317" s="21">
        <v>1025.04640402926</v>
      </c>
      <c r="R317" s="66">
        <v>1027.24383522475</v>
      </c>
      <c r="S317" s="71">
        <v>4.8000119303565558</v>
      </c>
      <c r="T317" s="61">
        <v>2.8580428179076067</v>
      </c>
      <c r="U317" s="25">
        <v>0.94174961252971634</v>
      </c>
      <c r="V317" s="218" t="s">
        <v>241</v>
      </c>
      <c r="W317" s="220"/>
      <c r="X317" s="16">
        <v>0</v>
      </c>
      <c r="Y317" s="17">
        <v>0</v>
      </c>
      <c r="Z317" s="18">
        <v>0</v>
      </c>
      <c r="AA317" s="43">
        <v>0</v>
      </c>
      <c r="AB317" s="319" t="s">
        <v>529</v>
      </c>
    </row>
    <row r="318" spans="1:28" s="20" customFormat="1" x14ac:dyDescent="0.3">
      <c r="A318" s="429">
        <v>44512</v>
      </c>
      <c r="B318" s="40">
        <v>1.4</v>
      </c>
      <c r="C318" s="14">
        <v>5.6</v>
      </c>
      <c r="D318" s="14">
        <v>-0.6</v>
      </c>
      <c r="E318" s="14">
        <v>7</v>
      </c>
      <c r="F318" s="14">
        <v>-0.7</v>
      </c>
      <c r="G318" s="76">
        <f t="shared" si="22"/>
        <v>7.7</v>
      </c>
      <c r="H318" s="76">
        <f t="shared" si="23"/>
        <v>1.45</v>
      </c>
      <c r="I318" s="78">
        <v>2.1470138888888921</v>
      </c>
      <c r="J318" s="14">
        <v>4.7</v>
      </c>
      <c r="K318" s="14">
        <v>-1.4</v>
      </c>
      <c r="L318" s="78">
        <v>1.3420138888888919</v>
      </c>
      <c r="M318" s="84">
        <v>97.6</v>
      </c>
      <c r="N318" s="24">
        <v>83.3</v>
      </c>
      <c r="O318" s="80">
        <v>94.470486111111256</v>
      </c>
      <c r="P318" s="117">
        <v>1025.6960915654499</v>
      </c>
      <c r="Q318" s="21">
        <v>1021.44832214511</v>
      </c>
      <c r="R318" s="66">
        <v>1023.3751350352439</v>
      </c>
      <c r="S318" s="71">
        <v>2.4000059651782721</v>
      </c>
      <c r="T318" s="61">
        <v>1.6357183512673334</v>
      </c>
      <c r="U318" s="25">
        <v>0.45938234218463969</v>
      </c>
      <c r="V318" s="218" t="s">
        <v>240</v>
      </c>
      <c r="W318" s="220" t="s">
        <v>262</v>
      </c>
      <c r="X318" s="16">
        <v>1.2</v>
      </c>
      <c r="Y318" s="17">
        <v>0.1</v>
      </c>
      <c r="Z318" s="18">
        <v>0</v>
      </c>
      <c r="AA318" s="43">
        <v>0</v>
      </c>
      <c r="AB318" s="319" t="s">
        <v>530</v>
      </c>
    </row>
    <row r="319" spans="1:28" s="20" customFormat="1" x14ac:dyDescent="0.3">
      <c r="A319" s="429">
        <v>44513</v>
      </c>
      <c r="B319" s="40">
        <v>-0.6</v>
      </c>
      <c r="C319" s="14">
        <v>9.9</v>
      </c>
      <c r="D319" s="14">
        <v>3.6</v>
      </c>
      <c r="E319" s="14">
        <v>10.6</v>
      </c>
      <c r="F319" s="14">
        <v>-0.8</v>
      </c>
      <c r="G319" s="76">
        <f t="shared" si="22"/>
        <v>11.4</v>
      </c>
      <c r="H319" s="76">
        <f t="shared" si="23"/>
        <v>4.125</v>
      </c>
      <c r="I319" s="78">
        <v>3.4790972222222263</v>
      </c>
      <c r="J319" s="14">
        <v>6.2</v>
      </c>
      <c r="K319" s="14">
        <v>-1.3</v>
      </c>
      <c r="L319" s="78">
        <v>1.5094444444444495</v>
      </c>
      <c r="M319" s="84">
        <v>97.1</v>
      </c>
      <c r="N319" s="24">
        <v>59.9</v>
      </c>
      <c r="O319" s="80">
        <v>87.782222222222316</v>
      </c>
      <c r="P319" s="117">
        <v>1021.64439207805</v>
      </c>
      <c r="Q319" s="21">
        <v>1017.68383855177</v>
      </c>
      <c r="R319" s="66">
        <v>1019.6523671753841</v>
      </c>
      <c r="S319" s="71">
        <v>7.5000186411821108</v>
      </c>
      <c r="T319" s="61">
        <v>4.8214405550456387</v>
      </c>
      <c r="U319" s="25">
        <v>0.90145313340517652</v>
      </c>
      <c r="V319" s="218" t="s">
        <v>236</v>
      </c>
      <c r="W319" s="221"/>
      <c r="X319" s="26">
        <v>0</v>
      </c>
      <c r="Y319" s="27">
        <v>0</v>
      </c>
      <c r="Z319" s="28">
        <v>0</v>
      </c>
      <c r="AA319" s="29">
        <v>0</v>
      </c>
      <c r="AB319" s="320" t="s">
        <v>270</v>
      </c>
    </row>
    <row r="320" spans="1:28" s="20" customFormat="1" x14ac:dyDescent="0.3">
      <c r="A320" s="429">
        <v>44514</v>
      </c>
      <c r="B320" s="40">
        <v>1.2</v>
      </c>
      <c r="C320" s="14">
        <v>11.7</v>
      </c>
      <c r="D320" s="14">
        <v>6.9</v>
      </c>
      <c r="E320" s="14">
        <v>12.2</v>
      </c>
      <c r="F320" s="14">
        <v>0.6</v>
      </c>
      <c r="G320" s="76">
        <f t="shared" si="22"/>
        <v>11.6</v>
      </c>
      <c r="H320" s="76">
        <f t="shared" si="23"/>
        <v>6.6749999999999998</v>
      </c>
      <c r="I320" s="78">
        <v>5.9790845070422565</v>
      </c>
      <c r="J320" s="14">
        <v>7.2</v>
      </c>
      <c r="K320" s="14">
        <v>-0.3</v>
      </c>
      <c r="L320" s="78">
        <v>3.6151408450704259</v>
      </c>
      <c r="M320" s="84">
        <v>95.6</v>
      </c>
      <c r="N320" s="24">
        <v>66.7</v>
      </c>
      <c r="O320" s="80">
        <v>85.234929577464769</v>
      </c>
      <c r="P320" s="117">
        <v>1025.95796809586</v>
      </c>
      <c r="Q320" s="21">
        <v>1019.15284048076</v>
      </c>
      <c r="R320" s="66">
        <v>1023.2820410173911</v>
      </c>
      <c r="S320" s="71">
        <v>4.8</v>
      </c>
      <c r="T320" s="61">
        <v>3.5999999999999996</v>
      </c>
      <c r="U320" s="25">
        <v>1.0050495928546497</v>
      </c>
      <c r="V320" s="218" t="s">
        <v>238</v>
      </c>
      <c r="W320" s="221"/>
      <c r="X320" s="26">
        <v>0</v>
      </c>
      <c r="Y320" s="27">
        <v>0</v>
      </c>
      <c r="Z320" s="28">
        <v>0</v>
      </c>
      <c r="AA320" s="29">
        <v>0</v>
      </c>
      <c r="AB320" s="320" t="s">
        <v>343</v>
      </c>
    </row>
    <row r="321" spans="1:28" s="20" customFormat="1" x14ac:dyDescent="0.3">
      <c r="A321" s="429">
        <v>44515</v>
      </c>
      <c r="B321" s="40">
        <v>5.0999999999999996</v>
      </c>
      <c r="C321" s="14">
        <v>10.9</v>
      </c>
      <c r="D321" s="14">
        <v>-0.8</v>
      </c>
      <c r="E321" s="14">
        <v>11.8</v>
      </c>
      <c r="F321" s="14">
        <v>-1.3</v>
      </c>
      <c r="G321" s="76">
        <f t="shared" si="22"/>
        <v>13.100000000000001</v>
      </c>
      <c r="H321" s="76">
        <f t="shared" si="23"/>
        <v>3.6</v>
      </c>
      <c r="I321" s="78">
        <v>4.665</v>
      </c>
      <c r="J321" s="14">
        <v>7.6</v>
      </c>
      <c r="K321" s="14">
        <v>-2.2000000000000002</v>
      </c>
      <c r="L321" s="78">
        <v>2.8621527777777689</v>
      </c>
      <c r="M321" s="84">
        <v>96.6</v>
      </c>
      <c r="N321" s="24">
        <v>71.900000000000006</v>
      </c>
      <c r="O321" s="80">
        <v>88.559513888889086</v>
      </c>
      <c r="P321" s="117">
        <v>1030.89339135622</v>
      </c>
      <c r="Q321" s="21">
        <v>1025.75316562693</v>
      </c>
      <c r="R321" s="66">
        <v>1028.0903555601151</v>
      </c>
      <c r="S321" s="71">
        <v>5.4000000043199998</v>
      </c>
      <c r="T321" s="61">
        <v>2.6766666688079996</v>
      </c>
      <c r="U321" s="25">
        <v>1.1169202037160875</v>
      </c>
      <c r="V321" s="218" t="s">
        <v>238</v>
      </c>
      <c r="W321" s="221"/>
      <c r="X321" s="26">
        <v>0</v>
      </c>
      <c r="Y321" s="27">
        <v>0</v>
      </c>
      <c r="Z321" s="28">
        <v>0</v>
      </c>
      <c r="AA321" s="29">
        <v>0</v>
      </c>
      <c r="AB321" s="320" t="s">
        <v>355</v>
      </c>
    </row>
    <row r="322" spans="1:28" s="20" customFormat="1" x14ac:dyDescent="0.3">
      <c r="A322" s="429">
        <v>44516</v>
      </c>
      <c r="B322" s="40">
        <v>-0.4</v>
      </c>
      <c r="C322" s="14">
        <v>8.3000000000000007</v>
      </c>
      <c r="D322" s="14">
        <v>-1.4</v>
      </c>
      <c r="E322" s="14">
        <v>10.1</v>
      </c>
      <c r="F322" s="14">
        <v>-2.7</v>
      </c>
      <c r="G322" s="76">
        <f t="shared" si="22"/>
        <v>12.8</v>
      </c>
      <c r="H322" s="76">
        <f t="shared" si="23"/>
        <v>1.2750000000000001</v>
      </c>
      <c r="I322" s="78">
        <v>1.5566666666666646</v>
      </c>
      <c r="J322" s="14">
        <v>6.1</v>
      </c>
      <c r="K322" s="14">
        <v>-3.5</v>
      </c>
      <c r="L322" s="78">
        <v>0.42979166666666307</v>
      </c>
      <c r="M322" s="84">
        <v>96.7</v>
      </c>
      <c r="N322" s="24">
        <v>73.599999999999994</v>
      </c>
      <c r="O322" s="80">
        <v>92.47486111111094</v>
      </c>
      <c r="P322" s="117">
        <v>1030.6730611688499</v>
      </c>
      <c r="Q322" s="21">
        <v>1024.87937504102</v>
      </c>
      <c r="R322" s="66">
        <v>1027.8422630119526</v>
      </c>
      <c r="S322" s="71">
        <v>2.7000000021599999</v>
      </c>
      <c r="T322" s="61">
        <v>1.5600000012480002</v>
      </c>
      <c r="U322" s="25">
        <v>0.57436661744905815</v>
      </c>
      <c r="V322" s="218" t="s">
        <v>236</v>
      </c>
      <c r="W322" s="221" t="s">
        <v>262</v>
      </c>
      <c r="X322" s="26">
        <v>1.2</v>
      </c>
      <c r="Y322" s="27">
        <v>0.1</v>
      </c>
      <c r="Z322" s="28">
        <v>0</v>
      </c>
      <c r="AA322" s="29">
        <v>0</v>
      </c>
      <c r="AB322" s="320" t="s">
        <v>531</v>
      </c>
    </row>
    <row r="323" spans="1:28" s="20" customFormat="1" x14ac:dyDescent="0.3">
      <c r="A323" s="429">
        <v>44517</v>
      </c>
      <c r="B323" s="40">
        <v>-0.8</v>
      </c>
      <c r="C323" s="14">
        <v>3.7</v>
      </c>
      <c r="D323" s="14">
        <v>2.7</v>
      </c>
      <c r="E323" s="14">
        <v>3.8</v>
      </c>
      <c r="F323" s="14">
        <v>-1.7</v>
      </c>
      <c r="G323" s="76">
        <f t="shared" si="22"/>
        <v>5.5</v>
      </c>
      <c r="H323" s="76">
        <f t="shared" si="23"/>
        <v>2.0750000000000002</v>
      </c>
      <c r="I323" s="78">
        <v>1.4258333333333317</v>
      </c>
      <c r="J323" s="14">
        <v>3</v>
      </c>
      <c r="K323" s="14">
        <v>-2.4</v>
      </c>
      <c r="L323" s="78">
        <v>0.76472222222222164</v>
      </c>
      <c r="M323" s="84">
        <v>97.6</v>
      </c>
      <c r="N323" s="24">
        <v>93.3</v>
      </c>
      <c r="O323" s="80">
        <v>95.394930555555476</v>
      </c>
      <c r="P323" s="117">
        <v>1025.10857461724</v>
      </c>
      <c r="Q323" s="21">
        <v>1021.43742373201</v>
      </c>
      <c r="R323" s="66">
        <v>1023.0181728457787</v>
      </c>
      <c r="S323" s="71">
        <v>2.0000000016000001</v>
      </c>
      <c r="T323" s="61">
        <v>1.4066666677920003</v>
      </c>
      <c r="U323" s="25">
        <v>0.25155378506180254</v>
      </c>
      <c r="V323" s="218" t="s">
        <v>236</v>
      </c>
      <c r="W323" s="221" t="s">
        <v>262</v>
      </c>
      <c r="X323" s="26">
        <v>1.2</v>
      </c>
      <c r="Y323" s="27">
        <v>0.1</v>
      </c>
      <c r="Z323" s="28">
        <v>0</v>
      </c>
      <c r="AA323" s="29">
        <v>0</v>
      </c>
      <c r="AB323" s="320" t="s">
        <v>506</v>
      </c>
    </row>
    <row r="324" spans="1:28" s="20" customFormat="1" x14ac:dyDescent="0.3">
      <c r="A324" s="429">
        <v>44518</v>
      </c>
      <c r="B324" s="40">
        <v>3</v>
      </c>
      <c r="C324" s="14">
        <v>8.5</v>
      </c>
      <c r="D324" s="14">
        <v>2.7</v>
      </c>
      <c r="E324" s="14">
        <v>9.8000000000000007</v>
      </c>
      <c r="F324" s="14">
        <v>1.7</v>
      </c>
      <c r="G324" s="76">
        <f t="shared" si="22"/>
        <v>8.1000000000000014</v>
      </c>
      <c r="H324" s="76">
        <f t="shared" si="23"/>
        <v>4.2249999999999996</v>
      </c>
      <c r="I324" s="78">
        <v>4.362222222222214</v>
      </c>
      <c r="J324" s="14">
        <v>6.2</v>
      </c>
      <c r="K324" s="14">
        <v>0.8</v>
      </c>
      <c r="L324" s="78">
        <v>3.1456249999999941</v>
      </c>
      <c r="M324" s="84">
        <v>97</v>
      </c>
      <c r="N324" s="24">
        <v>72.7</v>
      </c>
      <c r="O324" s="80">
        <v>92.078888888888827</v>
      </c>
      <c r="P324" s="117">
        <v>1026.0661456221501</v>
      </c>
      <c r="Q324" s="21">
        <v>1022.5727298179301</v>
      </c>
      <c r="R324" s="66">
        <v>1024.5369659425305</v>
      </c>
      <c r="S324" s="71">
        <v>3.4000000027200001</v>
      </c>
      <c r="T324" s="61">
        <v>2.1900000017519998</v>
      </c>
      <c r="U324" s="25">
        <v>0.50460526356157598</v>
      </c>
      <c r="V324" s="218" t="s">
        <v>240</v>
      </c>
      <c r="W324" s="221" t="s">
        <v>213</v>
      </c>
      <c r="X324" s="26">
        <v>1.2</v>
      </c>
      <c r="Y324" s="27">
        <v>0.1</v>
      </c>
      <c r="Z324" s="28">
        <v>0</v>
      </c>
      <c r="AA324" s="29">
        <v>0</v>
      </c>
      <c r="AB324" s="320" t="s">
        <v>532</v>
      </c>
    </row>
    <row r="325" spans="1:28" s="20" customFormat="1" ht="28.8" x14ac:dyDescent="0.3">
      <c r="A325" s="429">
        <v>44519</v>
      </c>
      <c r="B325" s="40">
        <v>3.3</v>
      </c>
      <c r="C325" s="14">
        <v>3.6</v>
      </c>
      <c r="D325" s="14">
        <v>3.8</v>
      </c>
      <c r="E325" s="14">
        <v>4.3</v>
      </c>
      <c r="F325" s="14">
        <v>2.9</v>
      </c>
      <c r="G325" s="76">
        <f t="shared" si="22"/>
        <v>1.4</v>
      </c>
      <c r="H325" s="76">
        <f t="shared" si="23"/>
        <v>3.625</v>
      </c>
      <c r="I325" s="78">
        <v>3.5637499999999851</v>
      </c>
      <c r="J325" s="14">
        <v>3.9</v>
      </c>
      <c r="K325" s="14">
        <v>2.1</v>
      </c>
      <c r="L325" s="78">
        <v>2.906666666666665</v>
      </c>
      <c r="M325" s="84">
        <v>96.9</v>
      </c>
      <c r="N325" s="24">
        <v>94.1</v>
      </c>
      <c r="O325" s="80">
        <v>95.429999999999893</v>
      </c>
      <c r="P325" s="117">
        <v>1025.09776860477</v>
      </c>
      <c r="Q325" s="21">
        <v>1020.71808978722</v>
      </c>
      <c r="R325" s="66">
        <v>1022.1271622666944</v>
      </c>
      <c r="S325" s="71">
        <v>5.4000000043199998</v>
      </c>
      <c r="T325" s="61">
        <v>3.5200000028159999</v>
      </c>
      <c r="U325" s="25">
        <v>1.373471616819304</v>
      </c>
      <c r="V325" s="218" t="s">
        <v>234</v>
      </c>
      <c r="W325" s="221" t="s">
        <v>213</v>
      </c>
      <c r="X325" s="26">
        <v>1.2</v>
      </c>
      <c r="Y325" s="27">
        <v>3.6</v>
      </c>
      <c r="Z325" s="28">
        <v>0</v>
      </c>
      <c r="AA325" s="29">
        <v>0</v>
      </c>
      <c r="AB325" s="320" t="s">
        <v>533</v>
      </c>
    </row>
    <row r="326" spans="1:28" s="20" customFormat="1" x14ac:dyDescent="0.3">
      <c r="A326" s="429">
        <v>44520</v>
      </c>
      <c r="B326" s="40">
        <v>4.5</v>
      </c>
      <c r="C326" s="14">
        <v>12.4</v>
      </c>
      <c r="D326" s="14">
        <v>4.9000000000000004</v>
      </c>
      <c r="E326" s="14">
        <v>13.1</v>
      </c>
      <c r="F326" s="14">
        <v>4.2</v>
      </c>
      <c r="G326" s="76">
        <f t="shared" si="22"/>
        <v>8.8999999999999986</v>
      </c>
      <c r="H326" s="76">
        <f t="shared" si="23"/>
        <v>6.6749999999999998</v>
      </c>
      <c r="I326" s="78">
        <v>6.0990277777777884</v>
      </c>
      <c r="J326" s="14">
        <v>9.6999999999999993</v>
      </c>
      <c r="K326" s="14">
        <v>3.7</v>
      </c>
      <c r="L326" s="78">
        <v>5.0801388888888672</v>
      </c>
      <c r="M326" s="84">
        <v>98.5</v>
      </c>
      <c r="N326" s="24">
        <v>74.400000000000006</v>
      </c>
      <c r="O326" s="80">
        <v>93.500138888888998</v>
      </c>
      <c r="P326" s="117">
        <v>1021.32378329969</v>
      </c>
      <c r="Q326" s="21">
        <v>1017.45727729577</v>
      </c>
      <c r="R326" s="66">
        <v>1019.848283195253</v>
      </c>
      <c r="S326" s="71">
        <v>6.10000000488</v>
      </c>
      <c r="T326" s="61">
        <v>3.9466666698239998</v>
      </c>
      <c r="U326" s="25">
        <v>0.98053333411776389</v>
      </c>
      <c r="V326" s="218" t="s">
        <v>234</v>
      </c>
      <c r="W326" s="221"/>
      <c r="X326" s="26">
        <v>0</v>
      </c>
      <c r="Y326" s="27">
        <v>0</v>
      </c>
      <c r="Z326" s="28">
        <v>0</v>
      </c>
      <c r="AA326" s="29">
        <v>0</v>
      </c>
      <c r="AB326" s="320" t="s">
        <v>270</v>
      </c>
    </row>
    <row r="327" spans="1:28" s="20" customFormat="1" x14ac:dyDescent="0.3">
      <c r="A327" s="429">
        <v>44521</v>
      </c>
      <c r="B327" s="40">
        <v>5.5</v>
      </c>
      <c r="C327" s="14">
        <v>6.6</v>
      </c>
      <c r="D327" s="14">
        <v>5.7</v>
      </c>
      <c r="E327" s="14">
        <v>7.3</v>
      </c>
      <c r="F327" s="14">
        <v>5.2</v>
      </c>
      <c r="G327" s="76">
        <f t="shared" si="22"/>
        <v>2.0999999999999996</v>
      </c>
      <c r="H327" s="76">
        <f t="shared" si="23"/>
        <v>5.875</v>
      </c>
      <c r="I327" s="78">
        <v>5.9053472222222174</v>
      </c>
      <c r="J327" s="14">
        <v>5.8</v>
      </c>
      <c r="K327" s="14">
        <v>4.5999999999999996</v>
      </c>
      <c r="L327" s="78">
        <v>5.00680555555555</v>
      </c>
      <c r="M327" s="84">
        <v>97.2</v>
      </c>
      <c r="N327" s="24">
        <v>87.8</v>
      </c>
      <c r="O327" s="80">
        <v>93.957222222222157</v>
      </c>
      <c r="P327" s="117">
        <v>1017.76444966488</v>
      </c>
      <c r="Q327" s="21">
        <v>1010.03395705688</v>
      </c>
      <c r="R327" s="66">
        <v>1012.4824933719414</v>
      </c>
      <c r="S327" s="71">
        <v>6.8000000054400003</v>
      </c>
      <c r="T327" s="61">
        <v>5.0200000040159996</v>
      </c>
      <c r="U327" s="25">
        <v>1.8530490782559979</v>
      </c>
      <c r="V327" s="218" t="s">
        <v>231</v>
      </c>
      <c r="W327" s="221"/>
      <c r="X327" s="26">
        <v>0</v>
      </c>
      <c r="Y327" s="27">
        <v>0</v>
      </c>
      <c r="Z327" s="28">
        <v>0</v>
      </c>
      <c r="AA327" s="29">
        <v>0</v>
      </c>
      <c r="AB327" s="320" t="s">
        <v>214</v>
      </c>
    </row>
    <row r="328" spans="1:28" s="20" customFormat="1" x14ac:dyDescent="0.3">
      <c r="A328" s="429">
        <v>44522</v>
      </c>
      <c r="B328" s="40">
        <v>5.4</v>
      </c>
      <c r="C328" s="14">
        <v>8.8000000000000007</v>
      </c>
      <c r="D328" s="14">
        <v>5</v>
      </c>
      <c r="E328" s="14">
        <v>9</v>
      </c>
      <c r="F328" s="14">
        <v>4.2</v>
      </c>
      <c r="G328" s="76">
        <f t="shared" si="22"/>
        <v>4.8</v>
      </c>
      <c r="H328" s="76">
        <f t="shared" si="23"/>
        <v>6.0500000000000007</v>
      </c>
      <c r="I328" s="78">
        <v>6.0951388888888722</v>
      </c>
      <c r="J328" s="14">
        <v>7.2</v>
      </c>
      <c r="K328" s="14">
        <v>2.9</v>
      </c>
      <c r="L328" s="78">
        <v>5.0212499999999949</v>
      </c>
      <c r="M328" s="84">
        <v>96.5</v>
      </c>
      <c r="N328" s="24">
        <v>81</v>
      </c>
      <c r="O328" s="80">
        <v>92.86069444444469</v>
      </c>
      <c r="P328" s="117">
        <v>1021.72467718681</v>
      </c>
      <c r="Q328" s="21">
        <v>1011.63802014417</v>
      </c>
      <c r="R328" s="66">
        <v>1015.7103542152153</v>
      </c>
      <c r="S328" s="71">
        <v>4.8000000038400001</v>
      </c>
      <c r="T328" s="61">
        <v>3.0466666691039999</v>
      </c>
      <c r="U328" s="25">
        <v>0.62346172530497057</v>
      </c>
      <c r="V328" s="218" t="s">
        <v>238</v>
      </c>
      <c r="W328" s="221" t="s">
        <v>213</v>
      </c>
      <c r="X328" s="26">
        <v>1.2</v>
      </c>
      <c r="Y328" s="27">
        <v>0.3</v>
      </c>
      <c r="Z328" s="28">
        <v>0</v>
      </c>
      <c r="AA328" s="29">
        <v>0</v>
      </c>
      <c r="AB328" s="320" t="s">
        <v>534</v>
      </c>
    </row>
    <row r="329" spans="1:28" s="20" customFormat="1" x14ac:dyDescent="0.3">
      <c r="A329" s="429">
        <v>44523</v>
      </c>
      <c r="B329" s="40">
        <v>2</v>
      </c>
      <c r="C329" s="14">
        <v>7.5</v>
      </c>
      <c r="D329" s="14">
        <v>2.7</v>
      </c>
      <c r="E329" s="14">
        <v>8</v>
      </c>
      <c r="F329" s="14">
        <v>0.7</v>
      </c>
      <c r="G329" s="76">
        <f t="shared" si="22"/>
        <v>7.3</v>
      </c>
      <c r="H329" s="76">
        <f t="shared" si="23"/>
        <v>3.7250000000000001</v>
      </c>
      <c r="I329" s="78">
        <v>3.7856944444444456</v>
      </c>
      <c r="J329" s="14">
        <v>3</v>
      </c>
      <c r="K329" s="14">
        <v>-1.2</v>
      </c>
      <c r="L329" s="78">
        <v>0.56458333333333555</v>
      </c>
      <c r="M329" s="84">
        <v>91.3</v>
      </c>
      <c r="N329" s="24">
        <v>56.4</v>
      </c>
      <c r="O329" s="80">
        <v>80.222152777777879</v>
      </c>
      <c r="P329" s="117">
        <v>1026.3973117062001</v>
      </c>
      <c r="Q329" s="21">
        <v>1021.3150862158</v>
      </c>
      <c r="R329" s="66">
        <v>1024.2348235730299</v>
      </c>
      <c r="S329" s="71">
        <v>5.8000000046400002</v>
      </c>
      <c r="T329" s="61">
        <v>3.4866666694560005</v>
      </c>
      <c r="U329" s="25">
        <v>1.1049805645380193</v>
      </c>
      <c r="V329" s="218" t="s">
        <v>238</v>
      </c>
      <c r="W329" s="221"/>
      <c r="X329" s="26">
        <v>0</v>
      </c>
      <c r="Y329" s="27">
        <v>0</v>
      </c>
      <c r="Z329" s="28">
        <v>0</v>
      </c>
      <c r="AA329" s="29">
        <v>0</v>
      </c>
      <c r="AB329" s="320" t="s">
        <v>291</v>
      </c>
    </row>
    <row r="330" spans="1:28" s="20" customFormat="1" x14ac:dyDescent="0.3">
      <c r="A330" s="429">
        <v>44524</v>
      </c>
      <c r="B330" s="40">
        <v>-1.8</v>
      </c>
      <c r="C330" s="14">
        <v>6</v>
      </c>
      <c r="D330" s="14">
        <v>-2.1</v>
      </c>
      <c r="E330" s="14">
        <v>6.4</v>
      </c>
      <c r="F330" s="14">
        <v>-4.3</v>
      </c>
      <c r="G330" s="76">
        <f t="shared" si="22"/>
        <v>10.7</v>
      </c>
      <c r="H330" s="76">
        <f t="shared" si="23"/>
        <v>0</v>
      </c>
      <c r="I330" s="78">
        <v>1.0465277777777768</v>
      </c>
      <c r="J330" s="14">
        <v>1.8</v>
      </c>
      <c r="K330" s="14">
        <v>-5.0999999999999996</v>
      </c>
      <c r="L330" s="78">
        <v>-0.95388888888888956</v>
      </c>
      <c r="M330" s="84">
        <v>97.4</v>
      </c>
      <c r="N330" s="24">
        <v>68.8</v>
      </c>
      <c r="O330" s="80">
        <v>87.086388888889104</v>
      </c>
      <c r="P330" s="117">
        <v>1026.9983380803801</v>
      </c>
      <c r="Q330" s="21">
        <v>1023.28879903353</v>
      </c>
      <c r="R330" s="66">
        <v>1025.203072563716</v>
      </c>
      <c r="S330" s="71">
        <v>6.8000000054400003</v>
      </c>
      <c r="T330" s="61">
        <v>4.2933333367679998</v>
      </c>
      <c r="U330" s="25">
        <v>1.0745326544163141</v>
      </c>
      <c r="V330" s="218" t="s">
        <v>236</v>
      </c>
      <c r="W330" s="221"/>
      <c r="X330" s="26">
        <v>0</v>
      </c>
      <c r="Y330" s="27">
        <v>0</v>
      </c>
      <c r="Z330" s="28">
        <v>0</v>
      </c>
      <c r="AA330" s="29">
        <v>0</v>
      </c>
      <c r="AB330" s="320" t="s">
        <v>535</v>
      </c>
    </row>
    <row r="331" spans="1:28" s="20" customFormat="1" x14ac:dyDescent="0.3">
      <c r="A331" s="429">
        <v>44525</v>
      </c>
      <c r="B331" s="40">
        <v>-4.3</v>
      </c>
      <c r="C331" s="14">
        <v>2.5</v>
      </c>
      <c r="D331" s="14">
        <v>4.7</v>
      </c>
      <c r="E331" s="14">
        <v>5.0999999999999996</v>
      </c>
      <c r="F331" s="14">
        <v>-4.9000000000000004</v>
      </c>
      <c r="G331" s="76">
        <f t="shared" si="22"/>
        <v>10</v>
      </c>
      <c r="H331" s="76">
        <f t="shared" si="23"/>
        <v>1.9000000000000001</v>
      </c>
      <c r="I331" s="78">
        <v>0.7836111111111107</v>
      </c>
      <c r="J331" s="14">
        <v>2</v>
      </c>
      <c r="K331" s="14">
        <v>-5.7</v>
      </c>
      <c r="L331" s="78">
        <v>-1.1505555555555662</v>
      </c>
      <c r="M331" s="84">
        <v>96.6</v>
      </c>
      <c r="N331" s="24">
        <v>77.599999999999994</v>
      </c>
      <c r="O331" s="80">
        <v>87.286527777777863</v>
      </c>
      <c r="P331" s="117">
        <v>1023.2980569047101</v>
      </c>
      <c r="Q331" s="21">
        <v>1009.00161718608</v>
      </c>
      <c r="R331" s="66">
        <v>1015.9445520380832</v>
      </c>
      <c r="S331" s="71">
        <v>9.2000000073599999</v>
      </c>
      <c r="T331" s="61">
        <v>5.5966666711439998</v>
      </c>
      <c r="U331" s="25">
        <v>2.3303679515132876</v>
      </c>
      <c r="V331" s="218" t="s">
        <v>242</v>
      </c>
      <c r="W331" s="221" t="s">
        <v>224</v>
      </c>
      <c r="X331" s="26">
        <v>0</v>
      </c>
      <c r="Y331" s="27">
        <v>0</v>
      </c>
      <c r="Z331" s="28">
        <v>0</v>
      </c>
      <c r="AA331" s="29">
        <v>0</v>
      </c>
      <c r="AB331" s="320" t="s">
        <v>506</v>
      </c>
    </row>
    <row r="332" spans="1:28" s="20" customFormat="1" x14ac:dyDescent="0.3">
      <c r="A332" s="429">
        <v>44526</v>
      </c>
      <c r="B332" s="40">
        <v>4.8</v>
      </c>
      <c r="C332" s="14">
        <v>8.1</v>
      </c>
      <c r="D332" s="14">
        <v>4.0999999999999996</v>
      </c>
      <c r="E332" s="14">
        <v>8.1999999999999993</v>
      </c>
      <c r="F332" s="14">
        <v>3.9</v>
      </c>
      <c r="G332" s="76">
        <f t="shared" si="22"/>
        <v>4.2999999999999989</v>
      </c>
      <c r="H332" s="76">
        <f t="shared" si="23"/>
        <v>5.2749999999999995</v>
      </c>
      <c r="I332" s="78">
        <v>5.4301388888889237</v>
      </c>
      <c r="J332" s="14">
        <v>4.3</v>
      </c>
      <c r="K332" s="14">
        <v>1.2</v>
      </c>
      <c r="L332" s="78">
        <v>2.2830555555555465</v>
      </c>
      <c r="M332" s="84">
        <v>95.4</v>
      </c>
      <c r="N332" s="24">
        <v>63</v>
      </c>
      <c r="O332" s="80">
        <v>80.755763888889035</v>
      </c>
      <c r="P332" s="117">
        <v>1009.13814402691</v>
      </c>
      <c r="Q332" s="21">
        <v>990.43449457937595</v>
      </c>
      <c r="R332" s="66">
        <v>999.51983931419909</v>
      </c>
      <c r="S332" s="71">
        <v>10.500000008400001</v>
      </c>
      <c r="T332" s="61">
        <v>6.8033333387759996</v>
      </c>
      <c r="U332" s="25">
        <v>2.4282688112924928</v>
      </c>
      <c r="V332" s="218" t="s">
        <v>231</v>
      </c>
      <c r="W332" s="221" t="s">
        <v>213</v>
      </c>
      <c r="X332" s="26">
        <v>2.4</v>
      </c>
      <c r="Y332" s="27">
        <v>1.9</v>
      </c>
      <c r="Z332" s="28">
        <v>0</v>
      </c>
      <c r="AA332" s="29">
        <v>0</v>
      </c>
      <c r="AB332" s="320" t="s">
        <v>212</v>
      </c>
    </row>
    <row r="333" spans="1:28" s="20" customFormat="1" x14ac:dyDescent="0.3">
      <c r="A333" s="429">
        <v>44527</v>
      </c>
      <c r="B333" s="40">
        <v>5.4</v>
      </c>
      <c r="C333" s="14">
        <v>3.7</v>
      </c>
      <c r="D333" s="14">
        <v>3.1</v>
      </c>
      <c r="E333" s="14">
        <v>5.9</v>
      </c>
      <c r="F333" s="14">
        <v>1.9</v>
      </c>
      <c r="G333" s="76">
        <f t="shared" si="22"/>
        <v>4</v>
      </c>
      <c r="H333" s="76">
        <f t="shared" si="23"/>
        <v>3.8250000000000002</v>
      </c>
      <c r="I333" s="78">
        <v>4.0230555555555609</v>
      </c>
      <c r="J333" s="14">
        <v>4.5999999999999996</v>
      </c>
      <c r="K333" s="14">
        <v>0.5</v>
      </c>
      <c r="L333" s="78">
        <v>2.5607638888888764</v>
      </c>
      <c r="M333" s="84">
        <v>94.5</v>
      </c>
      <c r="N333" s="24">
        <v>84.8</v>
      </c>
      <c r="O333" s="80">
        <v>90.199305555555782</v>
      </c>
      <c r="P333" s="117">
        <v>1000.65679950435</v>
      </c>
      <c r="Q333" s="21">
        <v>990.72489889513702</v>
      </c>
      <c r="R333" s="66">
        <v>996.52376168094895</v>
      </c>
      <c r="S333" s="71">
        <v>10.20000000816</v>
      </c>
      <c r="T333" s="61">
        <v>6.4866666718559998</v>
      </c>
      <c r="U333" s="25">
        <v>3.1190268725024932</v>
      </c>
      <c r="V333" s="218" t="s">
        <v>231</v>
      </c>
      <c r="W333" s="221" t="s">
        <v>213</v>
      </c>
      <c r="X333" s="26">
        <v>1.2</v>
      </c>
      <c r="Y333" s="27">
        <v>3.2</v>
      </c>
      <c r="Z333" s="28">
        <v>0</v>
      </c>
      <c r="AA333" s="29">
        <v>0</v>
      </c>
      <c r="AB333" s="320" t="s">
        <v>227</v>
      </c>
    </row>
    <row r="334" spans="1:28" s="20" customFormat="1" x14ac:dyDescent="0.3">
      <c r="A334" s="429">
        <v>44528</v>
      </c>
      <c r="B334" s="40">
        <v>3.6</v>
      </c>
      <c r="C334" s="14">
        <v>7.5</v>
      </c>
      <c r="D334" s="14">
        <v>6.9</v>
      </c>
      <c r="E334" s="14">
        <v>7.9</v>
      </c>
      <c r="F334" s="14">
        <v>3.1</v>
      </c>
      <c r="G334" s="76">
        <f t="shared" si="22"/>
        <v>4.8000000000000007</v>
      </c>
      <c r="H334" s="76">
        <f t="shared" si="23"/>
        <v>6.2249999999999996</v>
      </c>
      <c r="I334" s="78">
        <v>5.4826771653543149</v>
      </c>
      <c r="J334" s="14">
        <v>6.9</v>
      </c>
      <c r="K334" s="14">
        <v>2.2999999999999998</v>
      </c>
      <c r="L334" s="78">
        <v>4.8032211882605438</v>
      </c>
      <c r="M334" s="84">
        <v>97.4</v>
      </c>
      <c r="N334" s="24">
        <v>91.5</v>
      </c>
      <c r="O334" s="80">
        <v>95.373013600572449</v>
      </c>
      <c r="P334" s="117">
        <v>999.50450519742105</v>
      </c>
      <c r="Q334" s="21">
        <v>990.03543783260295</v>
      </c>
      <c r="R334" s="66">
        <v>995.25976524759574</v>
      </c>
      <c r="S334" s="71">
        <v>6.5000000052000004</v>
      </c>
      <c r="T334" s="61">
        <v>4.7566666704720006</v>
      </c>
      <c r="U334" s="25">
        <v>0.92878237789141849</v>
      </c>
      <c r="V334" s="218" t="s">
        <v>234</v>
      </c>
      <c r="W334" s="221" t="s">
        <v>215</v>
      </c>
      <c r="X334" s="26">
        <v>2.4</v>
      </c>
      <c r="Y334" s="27">
        <v>19</v>
      </c>
      <c r="Z334" s="28">
        <v>0</v>
      </c>
      <c r="AA334" s="29">
        <v>0</v>
      </c>
      <c r="AB334" s="320" t="s">
        <v>506</v>
      </c>
    </row>
    <row r="335" spans="1:28" s="20" customFormat="1" x14ac:dyDescent="0.3">
      <c r="A335" s="429">
        <v>44529</v>
      </c>
      <c r="B335" s="40">
        <v>2.4</v>
      </c>
      <c r="C335" s="14">
        <v>2.7</v>
      </c>
      <c r="D335" s="14">
        <v>0.2</v>
      </c>
      <c r="E335" s="14">
        <v>6.2</v>
      </c>
      <c r="F335" s="14">
        <v>-1</v>
      </c>
      <c r="G335" s="76">
        <f t="shared" si="22"/>
        <v>7.2</v>
      </c>
      <c r="H335" s="76">
        <f t="shared" si="23"/>
        <v>1.375</v>
      </c>
      <c r="I335" s="78">
        <v>2.3838888888888867</v>
      </c>
      <c r="J335" s="14">
        <v>5.8</v>
      </c>
      <c r="K335" s="14">
        <v>-3.1</v>
      </c>
      <c r="L335" s="78">
        <v>1.4234722222222227</v>
      </c>
      <c r="M335" s="84">
        <v>97</v>
      </c>
      <c r="N335" s="24">
        <v>85.8</v>
      </c>
      <c r="O335" s="80">
        <v>93.378541666666948</v>
      </c>
      <c r="P335" s="117">
        <v>1002.92619510855</v>
      </c>
      <c r="Q335" s="21">
        <v>989.73661149707505</v>
      </c>
      <c r="R335" s="66">
        <v>995.51567081947098</v>
      </c>
      <c r="S335" s="71">
        <v>6.10000000488</v>
      </c>
      <c r="T335" s="61">
        <v>3.31666666932</v>
      </c>
      <c r="U335" s="25">
        <v>0.88095591947643104</v>
      </c>
      <c r="V335" s="218" t="s">
        <v>240</v>
      </c>
      <c r="W335" s="221" t="s">
        <v>215</v>
      </c>
      <c r="X335" s="26">
        <v>1.2</v>
      </c>
      <c r="Y335" s="27">
        <v>1.9</v>
      </c>
      <c r="Z335" s="28">
        <v>0</v>
      </c>
      <c r="AA335" s="29">
        <v>0</v>
      </c>
      <c r="AB335" s="320" t="s">
        <v>209</v>
      </c>
    </row>
    <row r="336" spans="1:28" s="315" customFormat="1" ht="15" thickBot="1" x14ac:dyDescent="0.35">
      <c r="A336" s="430">
        <v>44530</v>
      </c>
      <c r="B336" s="41">
        <v>-0.8</v>
      </c>
      <c r="C336" s="22">
        <v>3.9</v>
      </c>
      <c r="D336" s="22">
        <v>2.9</v>
      </c>
      <c r="E336" s="22">
        <v>4.5</v>
      </c>
      <c r="F336" s="22">
        <v>-2.8</v>
      </c>
      <c r="G336" s="314">
        <f t="shared" si="22"/>
        <v>7.3</v>
      </c>
      <c r="H336" s="314">
        <f>(B336+C336+2*D336)/4</f>
        <v>2.2249999999999996</v>
      </c>
      <c r="I336" s="79">
        <v>1.3047916666666699</v>
      </c>
      <c r="J336" s="22">
        <v>0.6</v>
      </c>
      <c r="K336" s="22">
        <v>-3.9</v>
      </c>
      <c r="L336" s="79">
        <v>-1.4195138888888881</v>
      </c>
      <c r="M336" s="85">
        <v>94.6</v>
      </c>
      <c r="N336" s="67">
        <v>66</v>
      </c>
      <c r="O336" s="81">
        <v>82.509236111111079</v>
      </c>
      <c r="P336" s="118">
        <v>1005.9817411400099</v>
      </c>
      <c r="Q336" s="68">
        <v>997.15768048290602</v>
      </c>
      <c r="R336" s="69">
        <v>1002.0015305595778</v>
      </c>
      <c r="S336" s="73">
        <v>9.2000000073599999</v>
      </c>
      <c r="T336" s="63">
        <v>6.2866666716959996</v>
      </c>
      <c r="U336" s="42">
        <v>1.8189089969966898</v>
      </c>
      <c r="V336" s="222" t="s">
        <v>303</v>
      </c>
      <c r="W336" s="223" t="s">
        <v>215</v>
      </c>
      <c r="X336" s="44">
        <v>1.2</v>
      </c>
      <c r="Y336" s="45">
        <v>0.1</v>
      </c>
      <c r="Z336" s="46">
        <v>0</v>
      </c>
      <c r="AA336" s="47">
        <v>0</v>
      </c>
      <c r="AB336" s="321" t="s">
        <v>209</v>
      </c>
    </row>
    <row r="337" spans="1:28" s="435" customFormat="1" x14ac:dyDescent="0.3">
      <c r="A337" s="428">
        <v>44531</v>
      </c>
      <c r="B337" s="400">
        <v>3.7</v>
      </c>
      <c r="C337" s="401">
        <v>5.5</v>
      </c>
      <c r="D337" s="401">
        <v>6.2</v>
      </c>
      <c r="E337" s="401">
        <v>7.2</v>
      </c>
      <c r="F337" s="401">
        <v>2.1</v>
      </c>
      <c r="G337" s="402">
        <f>E337-F337</f>
        <v>5.0999999999999996</v>
      </c>
      <c r="H337" s="402">
        <f>(B337+C337+2*D337)/4</f>
        <v>5.4</v>
      </c>
      <c r="I337" s="403">
        <v>4.5545067423704753</v>
      </c>
      <c r="J337" s="401">
        <v>4</v>
      </c>
      <c r="K337" s="401">
        <v>-0.8</v>
      </c>
      <c r="L337" s="403">
        <v>1.0262597586941082</v>
      </c>
      <c r="M337" s="404">
        <v>89.4</v>
      </c>
      <c r="N337" s="405">
        <v>59.6</v>
      </c>
      <c r="O337" s="406">
        <v>78.15947480482609</v>
      </c>
      <c r="P337" s="407">
        <v>1005.54583383188</v>
      </c>
      <c r="Q337" s="408">
        <v>998.07936263596605</v>
      </c>
      <c r="R337" s="409">
        <v>1001.999511739995</v>
      </c>
      <c r="S337" s="372">
        <v>11.20000000896</v>
      </c>
      <c r="T337" s="410">
        <v>7.4133333392640015</v>
      </c>
      <c r="U337" s="373">
        <v>3.1824680236144425</v>
      </c>
      <c r="V337" s="374" t="s">
        <v>231</v>
      </c>
      <c r="W337" s="411" t="s">
        <v>224</v>
      </c>
      <c r="X337" s="412">
        <v>0</v>
      </c>
      <c r="Y337" s="413">
        <v>0</v>
      </c>
      <c r="Z337" s="414">
        <v>0</v>
      </c>
      <c r="AA337" s="415">
        <v>0</v>
      </c>
      <c r="AB337" s="416" t="s">
        <v>211</v>
      </c>
    </row>
    <row r="338" spans="1:28" s="52" customFormat="1" x14ac:dyDescent="0.3">
      <c r="A338" s="429">
        <v>44532</v>
      </c>
      <c r="B338" s="40">
        <v>6.4</v>
      </c>
      <c r="C338" s="14">
        <v>7.8</v>
      </c>
      <c r="D338" s="14">
        <v>5</v>
      </c>
      <c r="E338" s="14">
        <v>8.8000000000000007</v>
      </c>
      <c r="F338" s="14">
        <v>3.9</v>
      </c>
      <c r="G338" s="76">
        <f>E338-F338</f>
        <v>4.9000000000000004</v>
      </c>
      <c r="H338" s="76">
        <f>(B338+C338+2*D338)/4</f>
        <v>6.05</v>
      </c>
      <c r="I338" s="78">
        <v>6.3624305555555463</v>
      </c>
      <c r="J338" s="14">
        <v>5.5</v>
      </c>
      <c r="K338" s="14">
        <v>3.1</v>
      </c>
      <c r="L338" s="78">
        <v>4.2013194444444597</v>
      </c>
      <c r="M338" s="84">
        <v>95.4</v>
      </c>
      <c r="N338" s="24">
        <v>78.599999999999994</v>
      </c>
      <c r="O338" s="80">
        <v>86.197638888888719</v>
      </c>
      <c r="P338" s="117">
        <v>1000.24672217722</v>
      </c>
      <c r="Q338" s="21">
        <v>997.04964080296998</v>
      </c>
      <c r="R338" s="66">
        <v>998.48065851330273</v>
      </c>
      <c r="S338" s="71">
        <v>12.60000001008</v>
      </c>
      <c r="T338" s="61">
        <v>8.7300000069839996</v>
      </c>
      <c r="U338" s="25">
        <v>2.4795946646221361</v>
      </c>
      <c r="V338" s="218" t="s">
        <v>232</v>
      </c>
      <c r="W338" s="219" t="s">
        <v>215</v>
      </c>
      <c r="X338" s="16">
        <v>2.8</v>
      </c>
      <c r="Y338" s="17">
        <v>11</v>
      </c>
      <c r="Z338" s="18">
        <v>0</v>
      </c>
      <c r="AA338" s="43">
        <v>0</v>
      </c>
      <c r="AB338" s="319" t="s">
        <v>212</v>
      </c>
    </row>
    <row r="339" spans="1:28" s="52" customFormat="1" x14ac:dyDescent="0.3">
      <c r="A339" s="429">
        <v>44533</v>
      </c>
      <c r="B339" s="40">
        <v>0.1</v>
      </c>
      <c r="C339" s="14">
        <v>1.2</v>
      </c>
      <c r="D339" s="14">
        <v>-5.3</v>
      </c>
      <c r="E339" s="14">
        <v>4</v>
      </c>
      <c r="F339" s="14">
        <v>-7.2</v>
      </c>
      <c r="G339" s="76">
        <f t="shared" ref="G339:G366" si="24">E339-F339</f>
        <v>11.2</v>
      </c>
      <c r="H339" s="76">
        <f t="shared" ref="H339:H367" si="25">(B339+C339+2*D339)/4</f>
        <v>-2.3249999999999997</v>
      </c>
      <c r="I339" s="78">
        <v>-0.6333333333333333</v>
      </c>
      <c r="J339" s="14">
        <v>3.2</v>
      </c>
      <c r="K339" s="14">
        <v>-8.1</v>
      </c>
      <c r="L339" s="78">
        <v>-2.3928472222222195</v>
      </c>
      <c r="M339" s="84">
        <v>95.3</v>
      </c>
      <c r="N339" s="24">
        <v>65.900000000000006</v>
      </c>
      <c r="O339" s="80">
        <v>88.294722222222163</v>
      </c>
      <c r="P339" s="117">
        <v>1015.7607796779</v>
      </c>
      <c r="Q339" s="21">
        <v>999.649387876932</v>
      </c>
      <c r="R339" s="66">
        <v>1009.3666266246217</v>
      </c>
      <c r="S339" s="71">
        <v>6.5000000052000004</v>
      </c>
      <c r="T339" s="61">
        <v>3.5200000028159999</v>
      </c>
      <c r="U339" s="25">
        <v>1.2125517419001584</v>
      </c>
      <c r="V339" s="218" t="s">
        <v>237</v>
      </c>
      <c r="W339" s="219"/>
      <c r="X339" s="16">
        <v>0</v>
      </c>
      <c r="Y339" s="17">
        <v>0</v>
      </c>
      <c r="Z339" s="18">
        <v>0</v>
      </c>
      <c r="AA339" s="43">
        <v>0</v>
      </c>
      <c r="AB339" s="319" t="s">
        <v>537</v>
      </c>
    </row>
    <row r="340" spans="1:28" s="52" customFormat="1" x14ac:dyDescent="0.3">
      <c r="A340" s="429">
        <v>44534</v>
      </c>
      <c r="B340" s="40">
        <v>-7.7</v>
      </c>
      <c r="C340" s="14">
        <v>-0.6</v>
      </c>
      <c r="D340" s="14">
        <v>-0.7</v>
      </c>
      <c r="E340" s="14">
        <v>0.8</v>
      </c>
      <c r="F340" s="14">
        <v>-8.1999999999999993</v>
      </c>
      <c r="G340" s="76">
        <f t="shared" si="24"/>
        <v>9</v>
      </c>
      <c r="H340" s="76">
        <f t="shared" si="25"/>
        <v>-2.4250000000000003</v>
      </c>
      <c r="I340" s="78">
        <v>-3.0634027777777799</v>
      </c>
      <c r="J340" s="14">
        <v>-1.8</v>
      </c>
      <c r="K340" s="14">
        <v>-9.1999999999999993</v>
      </c>
      <c r="L340" s="78">
        <v>-4.7238888888888839</v>
      </c>
      <c r="M340" s="84">
        <v>95.4</v>
      </c>
      <c r="N340" s="24">
        <v>79.900000000000006</v>
      </c>
      <c r="O340" s="80">
        <v>88.455069444444547</v>
      </c>
      <c r="P340" s="117">
        <v>1015.36955170165</v>
      </c>
      <c r="Q340" s="21">
        <v>1006.440765595</v>
      </c>
      <c r="R340" s="66">
        <v>1010.7339766572748</v>
      </c>
      <c r="S340" s="72">
        <v>8.5000000068000006</v>
      </c>
      <c r="T340" s="62">
        <v>5.9200000047359991</v>
      </c>
      <c r="U340" s="19">
        <v>2.2599295963697332</v>
      </c>
      <c r="V340" s="218" t="s">
        <v>242</v>
      </c>
      <c r="W340" s="220" t="s">
        <v>216</v>
      </c>
      <c r="X340" s="16">
        <v>0.4</v>
      </c>
      <c r="Y340" s="17">
        <v>1.2</v>
      </c>
      <c r="Z340" s="18">
        <v>0</v>
      </c>
      <c r="AA340" s="43">
        <v>0</v>
      </c>
      <c r="AB340" s="319" t="s">
        <v>538</v>
      </c>
    </row>
    <row r="341" spans="1:28" s="52" customFormat="1" x14ac:dyDescent="0.3">
      <c r="A341" s="429">
        <v>44535</v>
      </c>
      <c r="B341" s="40">
        <v>-0.6</v>
      </c>
      <c r="C341" s="14">
        <v>0.8</v>
      </c>
      <c r="D341" s="14">
        <v>0.2</v>
      </c>
      <c r="E341" s="14">
        <v>1.1000000000000001</v>
      </c>
      <c r="F341" s="14">
        <v>-1</v>
      </c>
      <c r="G341" s="76">
        <f t="shared" si="24"/>
        <v>2.1</v>
      </c>
      <c r="H341" s="76">
        <f t="shared" si="25"/>
        <v>0.15000000000000002</v>
      </c>
      <c r="I341" s="78">
        <v>6.9097222222222018E-2</v>
      </c>
      <c r="J341" s="14">
        <v>0.1</v>
      </c>
      <c r="K341" s="14">
        <v>-2.9</v>
      </c>
      <c r="L341" s="78">
        <v>-1.1176388888888966</v>
      </c>
      <c r="M341" s="84">
        <v>95.8</v>
      </c>
      <c r="N341" s="24">
        <v>82.7</v>
      </c>
      <c r="O341" s="80">
        <v>91.714444444444624</v>
      </c>
      <c r="P341" s="117">
        <v>1007.44743841609</v>
      </c>
      <c r="Q341" s="21">
        <v>1004.80177808869</v>
      </c>
      <c r="R341" s="66">
        <v>1006.2001263210261</v>
      </c>
      <c r="S341" s="71">
        <v>6.5000000052000004</v>
      </c>
      <c r="T341" s="61">
        <v>4.2633333367440009</v>
      </c>
      <c r="U341" s="25">
        <v>1.0197467746166222</v>
      </c>
      <c r="V341" s="218" t="s">
        <v>231</v>
      </c>
      <c r="W341" s="220" t="s">
        <v>215</v>
      </c>
      <c r="X341" s="16">
        <v>0.4</v>
      </c>
      <c r="Y341" s="17">
        <v>2.2999999999999998</v>
      </c>
      <c r="Z341" s="18">
        <v>3</v>
      </c>
      <c r="AA341" s="43">
        <v>3</v>
      </c>
      <c r="AB341" s="319" t="s">
        <v>539</v>
      </c>
    </row>
    <row r="342" spans="1:28" s="52" customFormat="1" x14ac:dyDescent="0.3">
      <c r="A342" s="429">
        <v>44536</v>
      </c>
      <c r="B342" s="40">
        <v>0.3</v>
      </c>
      <c r="C342" s="14">
        <v>1.5</v>
      </c>
      <c r="D342" s="14">
        <v>0.9</v>
      </c>
      <c r="E342" s="14">
        <v>1.6</v>
      </c>
      <c r="F342" s="14">
        <v>0</v>
      </c>
      <c r="G342" s="76">
        <f t="shared" si="24"/>
        <v>1.6</v>
      </c>
      <c r="H342" s="76">
        <f t="shared" si="25"/>
        <v>0.9</v>
      </c>
      <c r="I342" s="78">
        <v>0.66694444444444134</v>
      </c>
      <c r="J342" s="14">
        <v>1</v>
      </c>
      <c r="K342" s="14">
        <v>-0.6</v>
      </c>
      <c r="L342" s="78">
        <v>6.1111111111110936E-2</v>
      </c>
      <c r="M342" s="84">
        <v>96.6</v>
      </c>
      <c r="N342" s="24">
        <v>94.3</v>
      </c>
      <c r="O342" s="80">
        <v>95.696736111111179</v>
      </c>
      <c r="P342" s="117">
        <v>1010.467397881</v>
      </c>
      <c r="Q342" s="21">
        <v>1005.48354080654</v>
      </c>
      <c r="R342" s="66">
        <v>1007.5262505295804</v>
      </c>
      <c r="S342" s="71">
        <v>5.10000000408</v>
      </c>
      <c r="T342" s="61">
        <v>2.9000000023199997</v>
      </c>
      <c r="U342" s="25">
        <v>0.77282774452070291</v>
      </c>
      <c r="V342" s="218" t="s">
        <v>238</v>
      </c>
      <c r="W342" s="220" t="s">
        <v>215</v>
      </c>
      <c r="X342" s="16">
        <v>1.2</v>
      </c>
      <c r="Y342" s="17">
        <v>5</v>
      </c>
      <c r="Z342" s="18">
        <v>0.5</v>
      </c>
      <c r="AA342" s="43">
        <v>3</v>
      </c>
      <c r="AB342" s="319" t="s">
        <v>540</v>
      </c>
    </row>
    <row r="343" spans="1:28" s="52" customFormat="1" x14ac:dyDescent="0.3">
      <c r="A343" s="429">
        <v>44537</v>
      </c>
      <c r="B343" s="40">
        <v>0.1</v>
      </c>
      <c r="C343" s="14">
        <v>0.8</v>
      </c>
      <c r="D343" s="14">
        <v>-0.4</v>
      </c>
      <c r="E343" s="14">
        <v>1.3</v>
      </c>
      <c r="F343" s="14">
        <v>-0.6</v>
      </c>
      <c r="G343" s="76">
        <f t="shared" si="24"/>
        <v>1.9</v>
      </c>
      <c r="H343" s="76">
        <f t="shared" si="25"/>
        <v>2.4999999999999994E-2</v>
      </c>
      <c r="I343" s="78">
        <v>0.24319444444444518</v>
      </c>
      <c r="J343" s="14">
        <v>0.1</v>
      </c>
      <c r="K343" s="14">
        <v>-2.2999999999999998</v>
      </c>
      <c r="L343" s="78">
        <v>-1.1250000000000029</v>
      </c>
      <c r="M343" s="84">
        <v>94.4</v>
      </c>
      <c r="N343" s="24">
        <v>85.5</v>
      </c>
      <c r="O343" s="80">
        <v>90.518958333333146</v>
      </c>
      <c r="P343" s="117">
        <v>1012.92101283123</v>
      </c>
      <c r="Q343" s="21">
        <v>1009.69214949719</v>
      </c>
      <c r="R343" s="66">
        <v>1011.1222473453064</v>
      </c>
      <c r="S343" s="71">
        <v>6.10000000488</v>
      </c>
      <c r="T343" s="61">
        <v>4.153333336655999</v>
      </c>
      <c r="U343" s="25">
        <v>2.0294987484907661</v>
      </c>
      <c r="V343" s="218" t="s">
        <v>240</v>
      </c>
      <c r="W343" s="220"/>
      <c r="X343" s="16">
        <v>0</v>
      </c>
      <c r="Y343" s="17">
        <v>0</v>
      </c>
      <c r="Z343" s="18">
        <v>0</v>
      </c>
      <c r="AA343" s="43">
        <v>3</v>
      </c>
      <c r="AB343" s="319" t="s">
        <v>226</v>
      </c>
    </row>
    <row r="344" spans="1:28" s="52" customFormat="1" x14ac:dyDescent="0.3">
      <c r="A344" s="429">
        <v>44538</v>
      </c>
      <c r="B344" s="40">
        <v>-2.2999999999999998</v>
      </c>
      <c r="C344" s="14">
        <v>1.3</v>
      </c>
      <c r="D344" s="14">
        <v>-6.8</v>
      </c>
      <c r="E344" s="14">
        <v>1.9</v>
      </c>
      <c r="F344" s="14">
        <v>-8.5</v>
      </c>
      <c r="G344" s="76">
        <f t="shared" si="24"/>
        <v>10.4</v>
      </c>
      <c r="H344" s="76">
        <f t="shared" si="25"/>
        <v>-3.65</v>
      </c>
      <c r="I344" s="78">
        <v>-2.4827083333333304</v>
      </c>
      <c r="J344" s="14">
        <v>-1.6</v>
      </c>
      <c r="K344" s="14">
        <v>-9.5</v>
      </c>
      <c r="L344" s="78">
        <v>-4.4336111111111043</v>
      </c>
      <c r="M344" s="84">
        <v>93.1</v>
      </c>
      <c r="N344" s="24">
        <v>72.900000000000006</v>
      </c>
      <c r="O344" s="80">
        <v>86.692013888889036</v>
      </c>
      <c r="P344" s="117">
        <v>1012.55592568467</v>
      </c>
      <c r="Q344" s="21">
        <v>1009.71515421165</v>
      </c>
      <c r="R344" s="66">
        <v>1011.3615661965373</v>
      </c>
      <c r="S344" s="71">
        <v>5.4000000043199998</v>
      </c>
      <c r="T344" s="61">
        <v>3.3600000026879995</v>
      </c>
      <c r="U344" s="25">
        <v>1.5382388578197446</v>
      </c>
      <c r="V344" s="218" t="s">
        <v>238</v>
      </c>
      <c r="W344" s="220"/>
      <c r="X344" s="16">
        <v>0</v>
      </c>
      <c r="Y344" s="17">
        <v>0</v>
      </c>
      <c r="Z344" s="18">
        <v>0</v>
      </c>
      <c r="AA344" s="43">
        <v>2.8</v>
      </c>
      <c r="AB344" s="319" t="s">
        <v>541</v>
      </c>
    </row>
    <row r="345" spans="1:28" s="52" customFormat="1" x14ac:dyDescent="0.3">
      <c r="A345" s="429">
        <v>44539</v>
      </c>
      <c r="B345" s="40">
        <v>-8.1</v>
      </c>
      <c r="C345" s="14">
        <v>-1.8</v>
      </c>
      <c r="D345" s="14">
        <v>-1.5</v>
      </c>
      <c r="E345" s="14">
        <v>-0.8</v>
      </c>
      <c r="F345" s="14">
        <v>-8.6</v>
      </c>
      <c r="G345" s="76">
        <f t="shared" si="24"/>
        <v>7.8</v>
      </c>
      <c r="H345" s="76">
        <f t="shared" si="25"/>
        <v>-3.2250000000000001</v>
      </c>
      <c r="I345" s="78">
        <v>-4.1234722222222082</v>
      </c>
      <c r="J345" s="14">
        <v>-1.5</v>
      </c>
      <c r="K345" s="14">
        <v>-9.6</v>
      </c>
      <c r="L345" s="78">
        <v>-4.9408333333333294</v>
      </c>
      <c r="M345" s="84">
        <v>95.3</v>
      </c>
      <c r="N345" s="24">
        <v>91.9</v>
      </c>
      <c r="O345" s="80">
        <v>94.049930555555576</v>
      </c>
      <c r="P345" s="117">
        <v>1011.80176722763</v>
      </c>
      <c r="Q345" s="21">
        <v>1004.15552241614</v>
      </c>
      <c r="R345" s="66">
        <v>1008.4010210777913</v>
      </c>
      <c r="S345" s="71">
        <v>3.4000000027200001</v>
      </c>
      <c r="T345" s="61">
        <v>2.0800000016639997</v>
      </c>
      <c r="U345" s="25">
        <v>0.35279601292507939</v>
      </c>
      <c r="V345" s="218" t="s">
        <v>243</v>
      </c>
      <c r="W345" s="220" t="s">
        <v>213</v>
      </c>
      <c r="X345" s="16">
        <v>1.6</v>
      </c>
      <c r="Y345" s="17">
        <v>2.2000000000000002</v>
      </c>
      <c r="Z345" s="18">
        <v>0</v>
      </c>
      <c r="AA345" s="43">
        <v>2.5</v>
      </c>
      <c r="AB345" s="319" t="s">
        <v>545</v>
      </c>
    </row>
    <row r="346" spans="1:28" s="52" customFormat="1" ht="28.8" x14ac:dyDescent="0.3">
      <c r="A346" s="429">
        <v>44540</v>
      </c>
      <c r="B346" s="40">
        <v>2.1</v>
      </c>
      <c r="C346" s="14">
        <v>2.5</v>
      </c>
      <c r="D346" s="14">
        <v>1</v>
      </c>
      <c r="E346" s="14">
        <v>2.7</v>
      </c>
      <c r="F346" s="14">
        <v>-0.9</v>
      </c>
      <c r="G346" s="76">
        <f t="shared" si="24"/>
        <v>3.6</v>
      </c>
      <c r="H346" s="76">
        <f t="shared" si="25"/>
        <v>1.65</v>
      </c>
      <c r="I346" s="78">
        <v>1.3111111111111065</v>
      </c>
      <c r="J346" s="14">
        <v>2</v>
      </c>
      <c r="K346" s="14">
        <v>-1.6</v>
      </c>
      <c r="L346" s="78">
        <v>0.68159722222221919</v>
      </c>
      <c r="M346" s="84">
        <v>97.8</v>
      </c>
      <c r="N346" s="24">
        <v>93.7</v>
      </c>
      <c r="O346" s="80">
        <v>95.565416666667019</v>
      </c>
      <c r="P346" s="117">
        <v>1006.03658687046</v>
      </c>
      <c r="Q346" s="21">
        <v>1003.05154210632</v>
      </c>
      <c r="R346" s="66">
        <v>1004.1904276434763</v>
      </c>
      <c r="S346" s="71">
        <v>7.8000000062400003</v>
      </c>
      <c r="T346" s="61">
        <v>4.4750000035800008</v>
      </c>
      <c r="U346" s="25">
        <v>1.3861977289310532</v>
      </c>
      <c r="V346" s="218" t="s">
        <v>231</v>
      </c>
      <c r="W346" s="220" t="s">
        <v>213</v>
      </c>
      <c r="X346" s="16">
        <v>0.4</v>
      </c>
      <c r="Y346" s="17">
        <v>0.4</v>
      </c>
      <c r="Z346" s="18">
        <v>0</v>
      </c>
      <c r="AA346" s="43">
        <v>2</v>
      </c>
      <c r="AB346" s="319" t="s">
        <v>542</v>
      </c>
    </row>
    <row r="347" spans="1:28" s="52" customFormat="1" x14ac:dyDescent="0.3">
      <c r="A347" s="429">
        <v>44541</v>
      </c>
      <c r="B347" s="40">
        <v>1.3</v>
      </c>
      <c r="C347" s="14">
        <v>2.6</v>
      </c>
      <c r="D347" s="14">
        <v>0.7</v>
      </c>
      <c r="E347" s="14">
        <v>3</v>
      </c>
      <c r="F347" s="14">
        <v>0.2</v>
      </c>
      <c r="G347" s="76">
        <f t="shared" si="24"/>
        <v>2.8</v>
      </c>
      <c r="H347" s="76">
        <f t="shared" si="25"/>
        <v>1.3250000000000002</v>
      </c>
      <c r="I347" s="78">
        <v>1.4887499999999985</v>
      </c>
      <c r="J347" s="14">
        <v>2.2999999999999998</v>
      </c>
      <c r="K347" s="14">
        <v>-1.2</v>
      </c>
      <c r="L347" s="78">
        <v>0.68923611111111471</v>
      </c>
      <c r="M347" s="84">
        <v>97.8</v>
      </c>
      <c r="N347" s="24">
        <v>90</v>
      </c>
      <c r="O347" s="80">
        <v>94.441736111111041</v>
      </c>
      <c r="P347" s="117">
        <v>1019.30308404803</v>
      </c>
      <c r="Q347" s="21">
        <v>1005.7205416113</v>
      </c>
      <c r="R347" s="66">
        <v>1012.2258310336772</v>
      </c>
      <c r="S347" s="71">
        <v>7.1000000056800001</v>
      </c>
      <c r="T347" s="61">
        <v>4.0400000032320005</v>
      </c>
      <c r="U347" s="25">
        <v>1.0905660386083071</v>
      </c>
      <c r="V347" s="218" t="s">
        <v>243</v>
      </c>
      <c r="W347" s="220"/>
      <c r="X347" s="16">
        <v>0</v>
      </c>
      <c r="Y347" s="17">
        <v>0</v>
      </c>
      <c r="Z347" s="18">
        <v>0</v>
      </c>
      <c r="AA347" s="43">
        <v>1</v>
      </c>
      <c r="AB347" s="319" t="s">
        <v>543</v>
      </c>
    </row>
    <row r="348" spans="1:28" s="52" customFormat="1" x14ac:dyDescent="0.3">
      <c r="A348" s="429">
        <v>44542</v>
      </c>
      <c r="B348" s="40">
        <v>0.9</v>
      </c>
      <c r="C348" s="14">
        <v>1.8</v>
      </c>
      <c r="D348" s="14">
        <v>-0.3</v>
      </c>
      <c r="E348" s="14">
        <v>2.5</v>
      </c>
      <c r="F348" s="14">
        <v>-0.4</v>
      </c>
      <c r="G348" s="76">
        <f t="shared" si="24"/>
        <v>2.9</v>
      </c>
      <c r="H348" s="76">
        <f t="shared" si="25"/>
        <v>0.52500000000000002</v>
      </c>
      <c r="I348" s="78">
        <v>0.79312499999999697</v>
      </c>
      <c r="J348" s="14">
        <v>-0.6</v>
      </c>
      <c r="K348" s="14">
        <v>-2.6</v>
      </c>
      <c r="L348" s="78">
        <v>-1.6749305555555549</v>
      </c>
      <c r="M348" s="84">
        <v>91.3</v>
      </c>
      <c r="N348" s="24">
        <v>76.7</v>
      </c>
      <c r="O348" s="80">
        <v>83.574444444444424</v>
      </c>
      <c r="P348" s="117">
        <v>1023.86400893284</v>
      </c>
      <c r="Q348" s="21">
        <v>1018.35447235001</v>
      </c>
      <c r="R348" s="66">
        <v>1021.1593105814943</v>
      </c>
      <c r="S348" s="71">
        <v>9.5000000076000006</v>
      </c>
      <c r="T348" s="61">
        <v>5.4000000043199989</v>
      </c>
      <c r="U348" s="25">
        <v>2.8519849938090558</v>
      </c>
      <c r="V348" s="218" t="s">
        <v>240</v>
      </c>
      <c r="W348" s="220" t="s">
        <v>220</v>
      </c>
      <c r="X348" s="16">
        <v>0</v>
      </c>
      <c r="Y348" s="17">
        <v>0</v>
      </c>
      <c r="Z348" s="18">
        <v>0</v>
      </c>
      <c r="AA348" s="43">
        <v>0</v>
      </c>
      <c r="AB348" s="319" t="s">
        <v>212</v>
      </c>
    </row>
    <row r="349" spans="1:28" s="52" customFormat="1" x14ac:dyDescent="0.3">
      <c r="A349" s="429">
        <v>44543</v>
      </c>
      <c r="B349" s="40">
        <v>-2.1</v>
      </c>
      <c r="C349" s="14">
        <v>3.6</v>
      </c>
      <c r="D349" s="14">
        <v>-2.4</v>
      </c>
      <c r="E349" s="14">
        <v>4.5999999999999996</v>
      </c>
      <c r="F349" s="14">
        <v>-3.5</v>
      </c>
      <c r="G349" s="76">
        <f t="shared" si="24"/>
        <v>8.1</v>
      </c>
      <c r="H349" s="76">
        <f t="shared" si="25"/>
        <v>-0.82499999999999996</v>
      </c>
      <c r="I349" s="78">
        <v>-0.59763888888888983</v>
      </c>
      <c r="J349" s="14">
        <v>0.8</v>
      </c>
      <c r="K349" s="14">
        <v>-4.7</v>
      </c>
      <c r="L349" s="78">
        <v>-2.6195833333333303</v>
      </c>
      <c r="M349" s="84">
        <v>94.4</v>
      </c>
      <c r="N349" s="24">
        <v>73.099999999999994</v>
      </c>
      <c r="O349" s="80">
        <v>86.403263888888915</v>
      </c>
      <c r="P349" s="117">
        <v>1027.49083055396</v>
      </c>
      <c r="Q349" s="21">
        <v>1022.84863146219</v>
      </c>
      <c r="R349" s="66">
        <v>1024.7836105455392</v>
      </c>
      <c r="S349" s="71">
        <v>6.8000000054400003</v>
      </c>
      <c r="T349" s="61">
        <v>4.8600000038879996</v>
      </c>
      <c r="U349" s="25">
        <v>1.8243692396933642</v>
      </c>
      <c r="V349" s="218" t="s">
        <v>237</v>
      </c>
      <c r="W349" s="221"/>
      <c r="X349" s="26">
        <v>0</v>
      </c>
      <c r="Y349" s="27">
        <v>0</v>
      </c>
      <c r="Z349" s="28">
        <v>0</v>
      </c>
      <c r="AA349" s="29">
        <v>0</v>
      </c>
      <c r="AB349" s="320" t="s">
        <v>291</v>
      </c>
    </row>
    <row r="350" spans="1:28" s="52" customFormat="1" x14ac:dyDescent="0.3">
      <c r="A350" s="429">
        <v>44544</v>
      </c>
      <c r="B350" s="40">
        <v>-3.9</v>
      </c>
      <c r="C350" s="14">
        <v>5.8</v>
      </c>
      <c r="D350" s="14">
        <v>-3.7</v>
      </c>
      <c r="E350" s="14">
        <v>6</v>
      </c>
      <c r="F350" s="14">
        <v>-4.8</v>
      </c>
      <c r="G350" s="76">
        <f t="shared" si="24"/>
        <v>10.8</v>
      </c>
      <c r="H350" s="76">
        <f t="shared" si="25"/>
        <v>-1.375</v>
      </c>
      <c r="I350" s="78">
        <v>-1.5988888888888846</v>
      </c>
      <c r="J350" s="14">
        <v>1</v>
      </c>
      <c r="K350" s="14">
        <v>-5.8</v>
      </c>
      <c r="L350" s="78">
        <v>-3.4339583333333263</v>
      </c>
      <c r="M350" s="84">
        <v>95.3</v>
      </c>
      <c r="N350" s="24">
        <v>63.1</v>
      </c>
      <c r="O350" s="80">
        <v>87.899861111111207</v>
      </c>
      <c r="P350" s="117">
        <v>1028.3659993930701</v>
      </c>
      <c r="Q350" s="21">
        <v>1025.04287452023</v>
      </c>
      <c r="R350" s="66">
        <v>1027.2159143428603</v>
      </c>
      <c r="S350" s="71">
        <v>3.70000000296</v>
      </c>
      <c r="T350" s="61">
        <v>2.523333335352</v>
      </c>
      <c r="U350" s="25">
        <v>0.80937803757656079</v>
      </c>
      <c r="V350" s="218" t="s">
        <v>240</v>
      </c>
      <c r="W350" s="221" t="s">
        <v>213</v>
      </c>
      <c r="X350" s="26">
        <v>0.4</v>
      </c>
      <c r="Y350" s="27">
        <v>0.3</v>
      </c>
      <c r="Z350" s="28">
        <v>0</v>
      </c>
      <c r="AA350" s="29">
        <v>0</v>
      </c>
      <c r="AB350" s="320" t="s">
        <v>544</v>
      </c>
    </row>
    <row r="351" spans="1:28" s="52" customFormat="1" x14ac:dyDescent="0.3">
      <c r="A351" s="429">
        <v>44545</v>
      </c>
      <c r="B351" s="40">
        <v>-0.2</v>
      </c>
      <c r="C351" s="14">
        <v>3.7</v>
      </c>
      <c r="D351" s="14">
        <v>2.7</v>
      </c>
      <c r="E351" s="14">
        <v>4.5</v>
      </c>
      <c r="F351" s="14">
        <v>-1.5</v>
      </c>
      <c r="G351" s="76">
        <f t="shared" si="24"/>
        <v>6</v>
      </c>
      <c r="H351" s="76">
        <f t="shared" si="25"/>
        <v>2.2250000000000001</v>
      </c>
      <c r="I351" s="78">
        <v>1.4317596566523636</v>
      </c>
      <c r="J351" s="14">
        <v>3.1</v>
      </c>
      <c r="K351" s="14">
        <v>-2.5</v>
      </c>
      <c r="L351" s="78">
        <v>0.42110157367668166</v>
      </c>
      <c r="M351" s="84">
        <v>95.1</v>
      </c>
      <c r="N351" s="24">
        <v>88.6</v>
      </c>
      <c r="O351" s="80">
        <v>92.993347639485108</v>
      </c>
      <c r="P351" s="117">
        <v>1030.50278478972</v>
      </c>
      <c r="Q351" s="21">
        <v>1027.3830816658699</v>
      </c>
      <c r="R351" s="66">
        <v>1028.891860999094</v>
      </c>
      <c r="S351" s="71">
        <v>1.7000000013600001</v>
      </c>
      <c r="T351" s="61">
        <v>0.97666666744799979</v>
      </c>
      <c r="U351" s="25">
        <v>0.14694767453616356</v>
      </c>
      <c r="V351" s="218" t="s">
        <v>238</v>
      </c>
      <c r="W351" s="221" t="s">
        <v>213</v>
      </c>
      <c r="X351" s="26">
        <v>1.2</v>
      </c>
      <c r="Y351" s="27">
        <v>0.2</v>
      </c>
      <c r="Z351" s="28">
        <v>0</v>
      </c>
      <c r="AA351" s="29">
        <v>0</v>
      </c>
      <c r="AB351" s="320" t="s">
        <v>212</v>
      </c>
    </row>
    <row r="352" spans="1:28" s="52" customFormat="1" x14ac:dyDescent="0.3">
      <c r="A352" s="429">
        <v>44546</v>
      </c>
      <c r="B352" s="40">
        <v>2.1</v>
      </c>
      <c r="C352" s="14">
        <v>5.8</v>
      </c>
      <c r="D352" s="14">
        <v>6.5</v>
      </c>
      <c r="E352" s="14">
        <v>6.7</v>
      </c>
      <c r="F352" s="14">
        <v>2</v>
      </c>
      <c r="G352" s="76">
        <f t="shared" si="24"/>
        <v>4.7</v>
      </c>
      <c r="H352" s="76">
        <f t="shared" si="25"/>
        <v>5.2249999999999996</v>
      </c>
      <c r="I352" s="78">
        <v>4.0097916666666515</v>
      </c>
      <c r="J352" s="14">
        <v>5.5</v>
      </c>
      <c r="K352" s="14">
        <v>1.4</v>
      </c>
      <c r="L352" s="78">
        <v>3.0845833333333461</v>
      </c>
      <c r="M352" s="84">
        <v>96.5</v>
      </c>
      <c r="N352" s="24">
        <v>80.3</v>
      </c>
      <c r="O352" s="80">
        <v>93.758750000000106</v>
      </c>
      <c r="P352" s="117">
        <v>1029.80367744419</v>
      </c>
      <c r="Q352" s="21">
        <v>1027.02316017621</v>
      </c>
      <c r="R352" s="66">
        <v>1028.278115499962</v>
      </c>
      <c r="S352" s="71">
        <v>8.2000000065599998</v>
      </c>
      <c r="T352" s="61">
        <v>3.7166666696399999</v>
      </c>
      <c r="U352" s="25">
        <v>0.56712693843819939</v>
      </c>
      <c r="V352" s="218" t="s">
        <v>240</v>
      </c>
      <c r="W352" s="221" t="s">
        <v>213</v>
      </c>
      <c r="X352" s="26">
        <v>0.8</v>
      </c>
      <c r="Y352" s="27">
        <v>0.3</v>
      </c>
      <c r="Z352" s="28">
        <v>0</v>
      </c>
      <c r="AA352" s="29">
        <v>0</v>
      </c>
      <c r="AB352" s="320" t="s">
        <v>506</v>
      </c>
    </row>
    <row r="353" spans="1:28" s="52" customFormat="1" x14ac:dyDescent="0.3">
      <c r="A353" s="429">
        <v>44547</v>
      </c>
      <c r="B353" s="40">
        <v>3.8</v>
      </c>
      <c r="C353" s="14">
        <v>4.5999999999999996</v>
      </c>
      <c r="D353" s="14">
        <v>2</v>
      </c>
      <c r="E353" s="14">
        <v>6.1</v>
      </c>
      <c r="F353" s="14">
        <v>1.6</v>
      </c>
      <c r="G353" s="76">
        <f t="shared" si="24"/>
        <v>4.5</v>
      </c>
      <c r="H353" s="76">
        <f t="shared" si="25"/>
        <v>3.0999999999999996</v>
      </c>
      <c r="I353" s="78">
        <v>3.8744444444444386</v>
      </c>
      <c r="J353" s="14">
        <v>3.2</v>
      </c>
      <c r="K353" s="14">
        <v>0.8</v>
      </c>
      <c r="L353" s="78">
        <v>1.4524999999999955</v>
      </c>
      <c r="M353" s="84">
        <v>94.7</v>
      </c>
      <c r="N353" s="24">
        <v>73.400000000000006</v>
      </c>
      <c r="O353" s="80">
        <v>84.465347222222221</v>
      </c>
      <c r="P353" s="117">
        <v>1027.4915746868301</v>
      </c>
      <c r="Q353" s="21">
        <v>1025.59834303291</v>
      </c>
      <c r="R353" s="66">
        <v>1026.4969685385754</v>
      </c>
      <c r="S353" s="71">
        <v>9.5000000076000006</v>
      </c>
      <c r="T353" s="61">
        <v>5.386666670976</v>
      </c>
      <c r="U353" s="25">
        <v>2.7420374444498847</v>
      </c>
      <c r="V353" s="218" t="s">
        <v>240</v>
      </c>
      <c r="W353" s="221" t="s">
        <v>213</v>
      </c>
      <c r="X353" s="26">
        <v>2.8</v>
      </c>
      <c r="Y353" s="27">
        <v>2.9</v>
      </c>
      <c r="Z353" s="28">
        <v>0</v>
      </c>
      <c r="AA353" s="29">
        <v>0</v>
      </c>
      <c r="AB353" s="320" t="s">
        <v>209</v>
      </c>
    </row>
    <row r="354" spans="1:28" s="52" customFormat="1" x14ac:dyDescent="0.3">
      <c r="A354" s="429">
        <v>44548</v>
      </c>
      <c r="B354" s="40">
        <v>2.6</v>
      </c>
      <c r="C354" s="14">
        <v>3.4</v>
      </c>
      <c r="D354" s="14">
        <v>1.3</v>
      </c>
      <c r="E354" s="14">
        <v>3.8</v>
      </c>
      <c r="F354" s="14">
        <v>0.9</v>
      </c>
      <c r="G354" s="76">
        <f t="shared" si="24"/>
        <v>2.9</v>
      </c>
      <c r="H354" s="76">
        <f t="shared" si="25"/>
        <v>2.15</v>
      </c>
      <c r="I354" s="78">
        <v>2.4314583333333295</v>
      </c>
      <c r="J354" s="14">
        <v>1.4</v>
      </c>
      <c r="K354" s="14">
        <v>-0.6</v>
      </c>
      <c r="L354" s="78">
        <v>9.0486111111110185E-2</v>
      </c>
      <c r="M354" s="84">
        <v>95.4</v>
      </c>
      <c r="N354" s="24">
        <v>75.400000000000006</v>
      </c>
      <c r="O354" s="80">
        <v>84.703819444444491</v>
      </c>
      <c r="P354" s="117">
        <v>1030.9349886657601</v>
      </c>
      <c r="Q354" s="21">
        <v>1022.71434534283</v>
      </c>
      <c r="R354" s="66">
        <v>1027.9295466659219</v>
      </c>
      <c r="S354" s="71">
        <v>8.2000000065599998</v>
      </c>
      <c r="T354" s="61">
        <v>4.6433333370480003</v>
      </c>
      <c r="U354" s="25">
        <v>1.8301477727819391</v>
      </c>
      <c r="V354" s="218" t="s">
        <v>240</v>
      </c>
      <c r="W354" s="221" t="s">
        <v>213</v>
      </c>
      <c r="X354" s="26">
        <v>1.6</v>
      </c>
      <c r="Y354" s="27">
        <v>1.7</v>
      </c>
      <c r="Z354" s="28">
        <v>0</v>
      </c>
      <c r="AA354" s="29">
        <v>0</v>
      </c>
      <c r="AB354" s="320" t="s">
        <v>331</v>
      </c>
    </row>
    <row r="355" spans="1:28" s="52" customFormat="1" x14ac:dyDescent="0.3">
      <c r="A355" s="429">
        <v>44549</v>
      </c>
      <c r="B355" s="40">
        <v>0.5</v>
      </c>
      <c r="C355" s="14">
        <v>2.5</v>
      </c>
      <c r="D355" s="14">
        <v>1</v>
      </c>
      <c r="E355" s="14">
        <v>2.8</v>
      </c>
      <c r="F355" s="14">
        <v>0.4</v>
      </c>
      <c r="G355" s="76">
        <f t="shared" si="24"/>
        <v>2.4</v>
      </c>
      <c r="H355" s="76">
        <f t="shared" si="25"/>
        <v>1.25</v>
      </c>
      <c r="I355" s="78">
        <v>1.1320833333333338</v>
      </c>
      <c r="J355" s="14">
        <v>2.1</v>
      </c>
      <c r="K355" s="14">
        <v>-0.3</v>
      </c>
      <c r="L355" s="78">
        <v>0.43041666666666661</v>
      </c>
      <c r="M355" s="84">
        <v>97.5</v>
      </c>
      <c r="N355" s="24">
        <v>92.9</v>
      </c>
      <c r="O355" s="80">
        <v>95.085694444444258</v>
      </c>
      <c r="P355" s="117">
        <v>1022.71434534283</v>
      </c>
      <c r="Q355" s="21">
        <v>1008.01683943405</v>
      </c>
      <c r="R355" s="66">
        <v>1014.5910839476917</v>
      </c>
      <c r="S355" s="71">
        <v>9.2000000073599999</v>
      </c>
      <c r="T355" s="61">
        <v>5.3200000042560003</v>
      </c>
      <c r="U355" s="25">
        <v>1.2633696979803928</v>
      </c>
      <c r="V355" s="218" t="s">
        <v>232</v>
      </c>
      <c r="W355" s="221" t="s">
        <v>215</v>
      </c>
      <c r="X355" s="26">
        <v>5.6</v>
      </c>
      <c r="Y355" s="27">
        <v>2.9</v>
      </c>
      <c r="Z355" s="28">
        <v>0</v>
      </c>
      <c r="AA355" s="29">
        <v>0</v>
      </c>
      <c r="AB355" s="320" t="s">
        <v>209</v>
      </c>
    </row>
    <row r="356" spans="1:28" s="52" customFormat="1" x14ac:dyDescent="0.3">
      <c r="A356" s="429">
        <v>44550</v>
      </c>
      <c r="B356" s="40">
        <v>1.1000000000000001</v>
      </c>
      <c r="C356" s="14">
        <v>2.2999999999999998</v>
      </c>
      <c r="D356" s="14">
        <v>-1.8</v>
      </c>
      <c r="E356" s="14">
        <v>2.6</v>
      </c>
      <c r="F356" s="14">
        <v>-3.5</v>
      </c>
      <c r="G356" s="76">
        <f t="shared" si="24"/>
        <v>6.1</v>
      </c>
      <c r="H356" s="76">
        <f t="shared" si="25"/>
        <v>-5.0000000000000044E-2</v>
      </c>
      <c r="I356" s="78">
        <v>0.42854166666666599</v>
      </c>
      <c r="J356" s="14">
        <v>0.5</v>
      </c>
      <c r="K356" s="14">
        <v>-7.4</v>
      </c>
      <c r="L356" s="78">
        <v>-1.7859722222222194</v>
      </c>
      <c r="M356" s="84">
        <v>94.1</v>
      </c>
      <c r="N356" s="24">
        <v>73.5</v>
      </c>
      <c r="O356" s="80">
        <v>85.159861111111056</v>
      </c>
      <c r="P356" s="117">
        <v>1020.43926067746</v>
      </c>
      <c r="Q356" s="21">
        <v>1010.45857266327</v>
      </c>
      <c r="R356" s="66">
        <v>1013.8991577493183</v>
      </c>
      <c r="S356" s="71">
        <v>8.5000000068000006</v>
      </c>
      <c r="T356" s="61">
        <v>4.493333336928</v>
      </c>
      <c r="U356" s="25">
        <v>2.0801488547631863</v>
      </c>
      <c r="V356" s="218" t="s">
        <v>240</v>
      </c>
      <c r="W356" s="221" t="s">
        <v>216</v>
      </c>
      <c r="X356" s="26">
        <v>0.4</v>
      </c>
      <c r="Y356" s="27">
        <v>1.3</v>
      </c>
      <c r="Z356" s="28">
        <v>0.5</v>
      </c>
      <c r="AA356" s="29">
        <v>0.5</v>
      </c>
      <c r="AB356" s="320" t="s">
        <v>221</v>
      </c>
    </row>
    <row r="357" spans="1:28" s="52" customFormat="1" x14ac:dyDescent="0.3">
      <c r="A357" s="429">
        <v>44551</v>
      </c>
      <c r="B357" s="40">
        <v>-4</v>
      </c>
      <c r="C357" s="14">
        <v>-1.8</v>
      </c>
      <c r="D357" s="14">
        <v>-11</v>
      </c>
      <c r="E357" s="14">
        <v>2.1</v>
      </c>
      <c r="F357" s="14">
        <v>-11.6</v>
      </c>
      <c r="G357" s="76">
        <f t="shared" si="24"/>
        <v>13.7</v>
      </c>
      <c r="H357" s="76">
        <f t="shared" si="25"/>
        <v>-6.95</v>
      </c>
      <c r="I357" s="78">
        <v>-4.7464583333333428</v>
      </c>
      <c r="J357" s="14">
        <v>-2</v>
      </c>
      <c r="K357" s="14">
        <v>-12.7</v>
      </c>
      <c r="L357" s="78">
        <v>-6.9938888888888879</v>
      </c>
      <c r="M357" s="84">
        <v>93.4</v>
      </c>
      <c r="N357" s="24">
        <v>69.5</v>
      </c>
      <c r="O357" s="80">
        <v>84.563819444444221</v>
      </c>
      <c r="P357" s="117">
        <v>1027.38176371906</v>
      </c>
      <c r="Q357" s="21">
        <v>1020.25267749185</v>
      </c>
      <c r="R357" s="66">
        <v>1023.4937638815551</v>
      </c>
      <c r="S357" s="71">
        <v>8.5000000068000006</v>
      </c>
      <c r="T357" s="61">
        <v>4.5633333369839999</v>
      </c>
      <c r="U357" s="25">
        <v>1.2355628664855292</v>
      </c>
      <c r="V357" s="218" t="s">
        <v>240</v>
      </c>
      <c r="W357" s="221" t="s">
        <v>216</v>
      </c>
      <c r="X357" s="26">
        <v>0.4</v>
      </c>
      <c r="Y357" s="27">
        <v>0.5</v>
      </c>
      <c r="Z357" s="28">
        <v>3</v>
      </c>
      <c r="AA357" s="29">
        <v>3.5</v>
      </c>
      <c r="AB357" s="320" t="s">
        <v>221</v>
      </c>
    </row>
    <row r="358" spans="1:28" s="52" customFormat="1" x14ac:dyDescent="0.3">
      <c r="A358" s="429">
        <v>44552</v>
      </c>
      <c r="B358" s="40">
        <v>-9.3000000000000007</v>
      </c>
      <c r="C358" s="14">
        <v>-2.6</v>
      </c>
      <c r="D358" s="14">
        <v>-7.6</v>
      </c>
      <c r="E358" s="14">
        <v>-1.8</v>
      </c>
      <c r="F358" s="14">
        <v>-10</v>
      </c>
      <c r="G358" s="76">
        <f t="shared" si="24"/>
        <v>8.1999999999999993</v>
      </c>
      <c r="H358" s="76">
        <f t="shared" si="25"/>
        <v>-6.7750000000000004</v>
      </c>
      <c r="I358" s="78">
        <v>-6.8715277777777981</v>
      </c>
      <c r="J358" s="14">
        <v>-4.8</v>
      </c>
      <c r="K358" s="14">
        <v>-11.2</v>
      </c>
      <c r="L358" s="78">
        <v>-8.4021527777777756</v>
      </c>
      <c r="M358" s="84">
        <v>93.3</v>
      </c>
      <c r="N358" s="24">
        <v>72.8</v>
      </c>
      <c r="O358" s="80">
        <v>89.045694444444251</v>
      </c>
      <c r="P358" s="117">
        <v>1029.88896127411</v>
      </c>
      <c r="Q358" s="21">
        <v>1026.81077384733</v>
      </c>
      <c r="R358" s="66">
        <v>1028.4972141637704</v>
      </c>
      <c r="S358" s="71">
        <v>2.4000000019200001</v>
      </c>
      <c r="T358" s="61">
        <v>1.6700000013359997</v>
      </c>
      <c r="U358" s="25">
        <v>0.57916358299479265</v>
      </c>
      <c r="V358" s="218" t="s">
        <v>237</v>
      </c>
      <c r="W358" s="221" t="s">
        <v>220</v>
      </c>
      <c r="X358" s="26">
        <v>0</v>
      </c>
      <c r="Y358" s="27">
        <v>0</v>
      </c>
      <c r="Z358" s="28">
        <v>0</v>
      </c>
      <c r="AA358" s="29">
        <v>3</v>
      </c>
      <c r="AB358" s="320" t="s">
        <v>219</v>
      </c>
    </row>
    <row r="359" spans="1:28" s="52" customFormat="1" x14ac:dyDescent="0.3">
      <c r="A359" s="429">
        <v>44553</v>
      </c>
      <c r="B359" s="40">
        <v>-5.8</v>
      </c>
      <c r="C359" s="14">
        <v>-3.7</v>
      </c>
      <c r="D359" s="14">
        <v>-3.2</v>
      </c>
      <c r="E359" s="14">
        <v>-2.8</v>
      </c>
      <c r="F359" s="14">
        <v>-8</v>
      </c>
      <c r="G359" s="76">
        <f t="shared" si="24"/>
        <v>5.2</v>
      </c>
      <c r="H359" s="76">
        <f t="shared" si="25"/>
        <v>-3.9750000000000001</v>
      </c>
      <c r="I359" s="78">
        <v>-4.5133333333333239</v>
      </c>
      <c r="J359" s="14">
        <v>-5.4</v>
      </c>
      <c r="K359" s="14">
        <v>-9</v>
      </c>
      <c r="L359" s="78">
        <v>-7.0002777777777521</v>
      </c>
      <c r="M359" s="84">
        <v>93.7</v>
      </c>
      <c r="N359" s="24">
        <v>70.599999999999994</v>
      </c>
      <c r="O359" s="80">
        <v>83.11500000000018</v>
      </c>
      <c r="P359" s="117">
        <v>1028.90762827189</v>
      </c>
      <c r="Q359" s="21">
        <v>1011.23797149405</v>
      </c>
      <c r="R359" s="66">
        <v>1021.6417112625853</v>
      </c>
      <c r="S359" s="71">
        <v>11.60000000928</v>
      </c>
      <c r="T359" s="61">
        <v>7.2166666724399988</v>
      </c>
      <c r="U359" s="25">
        <v>3.3449987429128321</v>
      </c>
      <c r="V359" s="218" t="s">
        <v>232</v>
      </c>
      <c r="W359" s="221" t="s">
        <v>216</v>
      </c>
      <c r="X359" s="26">
        <v>0.4</v>
      </c>
      <c r="Y359" s="27">
        <v>1.6</v>
      </c>
      <c r="Z359" s="28">
        <v>1.5</v>
      </c>
      <c r="AA359" s="29">
        <v>2.5</v>
      </c>
      <c r="AB359" s="320" t="s">
        <v>222</v>
      </c>
    </row>
    <row r="360" spans="1:28" s="52" customFormat="1" ht="28.8" x14ac:dyDescent="0.3">
      <c r="A360" s="429">
        <v>44554</v>
      </c>
      <c r="B360" s="40">
        <v>-4.2</v>
      </c>
      <c r="C360" s="14">
        <v>-2.4</v>
      </c>
      <c r="D360" s="14">
        <v>-1.4</v>
      </c>
      <c r="E360" s="14">
        <v>-0.4</v>
      </c>
      <c r="F360" s="14">
        <v>-4.7</v>
      </c>
      <c r="G360" s="76">
        <f t="shared" si="24"/>
        <v>4.3</v>
      </c>
      <c r="H360" s="76">
        <f t="shared" si="25"/>
        <v>-2.3499999999999996</v>
      </c>
      <c r="I360" s="78">
        <v>-2.7690972222222343</v>
      </c>
      <c r="J360" s="14">
        <v>-1</v>
      </c>
      <c r="K360" s="14">
        <v>-7.3</v>
      </c>
      <c r="L360" s="78">
        <v>-4.1730555555555577</v>
      </c>
      <c r="M360" s="84">
        <v>95.7</v>
      </c>
      <c r="N360" s="24">
        <v>77.599999999999994</v>
      </c>
      <c r="O360" s="80">
        <v>90.104652777777858</v>
      </c>
      <c r="P360" s="117">
        <v>1011.34044105814</v>
      </c>
      <c r="Q360" s="21">
        <v>1001.3048072543399</v>
      </c>
      <c r="R360" s="66">
        <v>1004.1993059234217</v>
      </c>
      <c r="S360" s="71">
        <v>8.8000000070399995</v>
      </c>
      <c r="T360" s="61">
        <v>5.2900000042320006</v>
      </c>
      <c r="U360" s="25">
        <v>2.0290878230691622</v>
      </c>
      <c r="V360" s="218" t="s">
        <v>232</v>
      </c>
      <c r="W360" s="221" t="s">
        <v>215</v>
      </c>
      <c r="X360" s="26">
        <v>0.4</v>
      </c>
      <c r="Y360" s="27">
        <v>0.5</v>
      </c>
      <c r="Z360" s="28">
        <v>0.5</v>
      </c>
      <c r="AA360" s="29">
        <v>4</v>
      </c>
      <c r="AB360" s="320" t="s">
        <v>546</v>
      </c>
    </row>
    <row r="361" spans="1:28" s="52" customFormat="1" ht="28.8" x14ac:dyDescent="0.3">
      <c r="A361" s="429">
        <v>44555</v>
      </c>
      <c r="B361" s="40">
        <v>-0.6</v>
      </c>
      <c r="C361" s="14">
        <v>-2.2999999999999998</v>
      </c>
      <c r="D361" s="14">
        <v>-4.5</v>
      </c>
      <c r="E361" s="14">
        <v>-0.1</v>
      </c>
      <c r="F361" s="14">
        <v>-5.7</v>
      </c>
      <c r="G361" s="76">
        <f t="shared" si="24"/>
        <v>5.6000000000000005</v>
      </c>
      <c r="H361" s="76">
        <f t="shared" si="25"/>
        <v>-2.9750000000000001</v>
      </c>
      <c r="I361" s="78">
        <v>-2.1972916666666582</v>
      </c>
      <c r="J361" s="14">
        <v>-0.7</v>
      </c>
      <c r="K361" s="14">
        <v>-8.6</v>
      </c>
      <c r="L361" s="78">
        <v>-3.8688194444444468</v>
      </c>
      <c r="M361" s="84">
        <v>96.3</v>
      </c>
      <c r="N361" s="24">
        <v>76.599999999999994</v>
      </c>
      <c r="O361" s="80">
        <v>88.382638888888749</v>
      </c>
      <c r="P361" s="117">
        <v>1014.0715570955</v>
      </c>
      <c r="Q361" s="21">
        <v>1001.44779747554</v>
      </c>
      <c r="R361" s="66">
        <v>1009.2605172849288</v>
      </c>
      <c r="S361" s="71">
        <v>8.2000000065599998</v>
      </c>
      <c r="T361" s="61">
        <v>5.2366666708559997</v>
      </c>
      <c r="U361" s="25">
        <v>1.5505197015063037</v>
      </c>
      <c r="V361" s="218" t="s">
        <v>232</v>
      </c>
      <c r="W361" s="221" t="s">
        <v>215</v>
      </c>
      <c r="X361" s="26">
        <v>0.4</v>
      </c>
      <c r="Y361" s="27">
        <v>0.1</v>
      </c>
      <c r="Z361" s="28">
        <v>0.5</v>
      </c>
      <c r="AA361" s="29">
        <v>4</v>
      </c>
      <c r="AB361" s="320" t="s">
        <v>547</v>
      </c>
    </row>
    <row r="362" spans="1:28" s="52" customFormat="1" ht="28.8" x14ac:dyDescent="0.3">
      <c r="A362" s="429">
        <v>44556</v>
      </c>
      <c r="B362" s="40">
        <v>-10.9</v>
      </c>
      <c r="C362" s="14">
        <v>-1.8</v>
      </c>
      <c r="D362" s="14">
        <v>-12.1</v>
      </c>
      <c r="E362" s="14">
        <v>-1.3</v>
      </c>
      <c r="F362" s="14">
        <v>-15.7</v>
      </c>
      <c r="G362" s="76">
        <f t="shared" si="24"/>
        <v>14.399999999999999</v>
      </c>
      <c r="H362" s="76">
        <f t="shared" si="25"/>
        <v>-9.2249999999999996</v>
      </c>
      <c r="I362" s="78">
        <v>-8.3491666666666706</v>
      </c>
      <c r="J362" s="14">
        <v>-7.4</v>
      </c>
      <c r="K362" s="14">
        <v>-17.399999999999999</v>
      </c>
      <c r="L362" s="78">
        <v>-11.512152777777816</v>
      </c>
      <c r="M362" s="84">
        <v>90.6</v>
      </c>
      <c r="N362" s="24">
        <v>59</v>
      </c>
      <c r="O362" s="80">
        <v>78.737083333333388</v>
      </c>
      <c r="P362" s="117">
        <v>1016.91841074652</v>
      </c>
      <c r="Q362" s="21">
        <v>1013.77615725063</v>
      </c>
      <c r="R362" s="66">
        <v>1015.4332557693981</v>
      </c>
      <c r="S362" s="71">
        <v>6.10000000488</v>
      </c>
      <c r="T362" s="61">
        <v>4.3400000034719994</v>
      </c>
      <c r="U362" s="25">
        <v>1.4955095630458426</v>
      </c>
      <c r="V362" s="218" t="s">
        <v>238</v>
      </c>
      <c r="W362" s="221"/>
      <c r="X362" s="26">
        <v>0</v>
      </c>
      <c r="Y362" s="27">
        <v>0</v>
      </c>
      <c r="Z362" s="28">
        <v>0</v>
      </c>
      <c r="AA362" s="29">
        <v>3.5</v>
      </c>
      <c r="AB362" s="320" t="s">
        <v>548</v>
      </c>
    </row>
    <row r="363" spans="1:28" s="52" customFormat="1" ht="28.8" x14ac:dyDescent="0.3">
      <c r="A363" s="429">
        <v>44557</v>
      </c>
      <c r="B363" s="40">
        <v>-16.899999999999999</v>
      </c>
      <c r="C363" s="14">
        <v>-7.2</v>
      </c>
      <c r="D363" s="14">
        <v>-11.6</v>
      </c>
      <c r="E363" s="14">
        <v>-6.1</v>
      </c>
      <c r="F363" s="14">
        <v>-17.399999999999999</v>
      </c>
      <c r="G363" s="76">
        <f t="shared" si="24"/>
        <v>11.299999999999999</v>
      </c>
      <c r="H363" s="76">
        <f t="shared" si="25"/>
        <v>-11.824999999999999</v>
      </c>
      <c r="I363" s="78">
        <v>-12.244791666666641</v>
      </c>
      <c r="J363" s="14">
        <v>-9.4</v>
      </c>
      <c r="K363" s="14">
        <v>-19.100000000000001</v>
      </c>
      <c r="L363" s="78">
        <v>-14.318194444444455</v>
      </c>
      <c r="M363" s="84">
        <v>89.8</v>
      </c>
      <c r="N363" s="24">
        <v>73.7</v>
      </c>
      <c r="O363" s="80">
        <v>84.660138888889009</v>
      </c>
      <c r="P363" s="117">
        <v>1016.89233428312</v>
      </c>
      <c r="Q363" s="21">
        <v>1011.3626840394199</v>
      </c>
      <c r="R363" s="66">
        <v>1014.0870176255878</v>
      </c>
      <c r="S363" s="71">
        <v>2.0000000016000001</v>
      </c>
      <c r="T363" s="61">
        <v>1.0866666675360002</v>
      </c>
      <c r="U363" s="25">
        <v>0.23640223211537323</v>
      </c>
      <c r="V363" s="116" t="s">
        <v>236</v>
      </c>
      <c r="W363" s="221"/>
      <c r="X363" s="26">
        <v>0</v>
      </c>
      <c r="Y363" s="27">
        <v>0</v>
      </c>
      <c r="Z363" s="28">
        <v>0</v>
      </c>
      <c r="AA363" s="29">
        <v>3</v>
      </c>
      <c r="AB363" s="320" t="s">
        <v>549</v>
      </c>
    </row>
    <row r="364" spans="1:28" s="52" customFormat="1" ht="28.8" x14ac:dyDescent="0.3">
      <c r="A364" s="429">
        <v>44558</v>
      </c>
      <c r="B364" s="40">
        <v>-12.5</v>
      </c>
      <c r="C364" s="14">
        <v>-4.9000000000000004</v>
      </c>
      <c r="D364" s="14">
        <v>-3</v>
      </c>
      <c r="E364" s="14">
        <v>-0.1</v>
      </c>
      <c r="F364" s="14">
        <v>-15.2</v>
      </c>
      <c r="G364" s="76">
        <f t="shared" si="24"/>
        <v>15.1</v>
      </c>
      <c r="H364" s="76">
        <f t="shared" si="25"/>
        <v>-5.85</v>
      </c>
      <c r="I364" s="78">
        <v>-8.0091880341880657</v>
      </c>
      <c r="J364" s="14">
        <v>-1</v>
      </c>
      <c r="K364" s="14">
        <v>-16.600000000000001</v>
      </c>
      <c r="L364" s="78">
        <v>-9.1858974358974468</v>
      </c>
      <c r="M364" s="84">
        <v>95.4</v>
      </c>
      <c r="N364" s="24">
        <v>85.3</v>
      </c>
      <c r="O364" s="80">
        <v>91.159971509971413</v>
      </c>
      <c r="P364" s="117">
        <v>1013.85408894497</v>
      </c>
      <c r="Q364" s="21">
        <v>1007.5245728802799</v>
      </c>
      <c r="R364" s="66">
        <v>1011.7730909553079</v>
      </c>
      <c r="S364" s="71">
        <v>7.5000000059999996</v>
      </c>
      <c r="T364" s="61">
        <v>3.6900000029519999</v>
      </c>
      <c r="U364" s="25">
        <v>0.60058436863240661</v>
      </c>
      <c r="V364" s="218" t="s">
        <v>236</v>
      </c>
      <c r="W364" s="221" t="s">
        <v>220</v>
      </c>
      <c r="X364" s="26">
        <v>0</v>
      </c>
      <c r="Y364" s="27">
        <v>0</v>
      </c>
      <c r="Z364" s="28">
        <v>0</v>
      </c>
      <c r="AA364" s="29">
        <v>3</v>
      </c>
      <c r="AB364" s="320" t="s">
        <v>550</v>
      </c>
    </row>
    <row r="365" spans="1:28" s="52" customFormat="1" ht="28.8" x14ac:dyDescent="0.3">
      <c r="A365" s="429">
        <v>44559</v>
      </c>
      <c r="B365" s="40">
        <v>0.8</v>
      </c>
      <c r="C365" s="14">
        <v>2.2000000000000002</v>
      </c>
      <c r="D365" s="14">
        <v>0.4</v>
      </c>
      <c r="E365" s="289">
        <v>2.6</v>
      </c>
      <c r="F365" s="14">
        <v>-0.1</v>
      </c>
      <c r="G365" s="76">
        <f t="shared" si="24"/>
        <v>2.7</v>
      </c>
      <c r="H365" s="76">
        <f t="shared" si="25"/>
        <v>0.95</v>
      </c>
      <c r="I365" s="78">
        <v>0.9040277777777842</v>
      </c>
      <c r="J365" s="14">
        <v>1.5</v>
      </c>
      <c r="K365" s="14">
        <v>-1</v>
      </c>
      <c r="L365" s="78">
        <v>5.7847222222223049E-2</v>
      </c>
      <c r="M365" s="84">
        <v>95.8</v>
      </c>
      <c r="N365" s="24">
        <v>91.6</v>
      </c>
      <c r="O365" s="80">
        <v>94.035763888888951</v>
      </c>
      <c r="P365" s="117">
        <v>1013.455576397</v>
      </c>
      <c r="Q365" s="21">
        <v>1005.5419977532</v>
      </c>
      <c r="R365" s="66">
        <v>1008.5088701530624</v>
      </c>
      <c r="S365" s="71">
        <v>8.8000000070399995</v>
      </c>
      <c r="T365" s="61">
        <v>4.1650000033319996</v>
      </c>
      <c r="U365" s="25">
        <v>0.86869712421442069</v>
      </c>
      <c r="V365" s="218" t="s">
        <v>231</v>
      </c>
      <c r="W365" s="221" t="s">
        <v>215</v>
      </c>
      <c r="X365" s="26">
        <v>0.8</v>
      </c>
      <c r="Y365" s="27">
        <v>0.7</v>
      </c>
      <c r="Z365" s="28">
        <v>0</v>
      </c>
      <c r="AA365" s="29">
        <v>3</v>
      </c>
      <c r="AB365" s="320" t="s">
        <v>551</v>
      </c>
    </row>
    <row r="366" spans="1:28" s="52" customFormat="1" x14ac:dyDescent="0.3">
      <c r="A366" s="429">
        <v>44560</v>
      </c>
      <c r="B366" s="40">
        <v>0.1</v>
      </c>
      <c r="C366" s="14">
        <v>1.4</v>
      </c>
      <c r="D366" s="14">
        <v>0.4</v>
      </c>
      <c r="E366" s="14">
        <v>1.6</v>
      </c>
      <c r="F366" s="14">
        <v>0</v>
      </c>
      <c r="G366" s="76">
        <f t="shared" si="24"/>
        <v>1.6</v>
      </c>
      <c r="H366" s="76">
        <f t="shared" si="25"/>
        <v>0.57499999999999996</v>
      </c>
      <c r="I366" s="78">
        <v>0.58062499999999484</v>
      </c>
      <c r="J366" s="14">
        <v>1</v>
      </c>
      <c r="K366" s="14">
        <v>-0.6</v>
      </c>
      <c r="L366" s="78">
        <v>-1.3194444444454404E-3</v>
      </c>
      <c r="M366" s="84">
        <v>97.2</v>
      </c>
      <c r="N366" s="24">
        <v>94.8</v>
      </c>
      <c r="O366" s="80">
        <v>95.822430555555727</v>
      </c>
      <c r="P366" s="117">
        <v>1021.6411468884299</v>
      </c>
      <c r="Q366" s="21">
        <v>1013.06359194954</v>
      </c>
      <c r="R366" s="66">
        <v>1018.3524950975014</v>
      </c>
      <c r="S366" s="71">
        <v>5.4000000043199998</v>
      </c>
      <c r="T366" s="61">
        <v>3.1800000025440007</v>
      </c>
      <c r="U366" s="25">
        <v>1.0362809324156281</v>
      </c>
      <c r="V366" s="218" t="s">
        <v>239</v>
      </c>
      <c r="W366" s="221" t="s">
        <v>213</v>
      </c>
      <c r="X366" s="26">
        <v>1.2</v>
      </c>
      <c r="Y366" s="27">
        <v>4.4000000000000004</v>
      </c>
      <c r="Z366" s="28">
        <v>0</v>
      </c>
      <c r="AA366" s="29">
        <v>2</v>
      </c>
      <c r="AB366" s="320" t="s">
        <v>552</v>
      </c>
    </row>
    <row r="367" spans="1:28" s="436" customFormat="1" ht="15" thickBot="1" x14ac:dyDescent="0.35">
      <c r="A367" s="430">
        <v>44561</v>
      </c>
      <c r="B367" s="41">
        <v>0.4</v>
      </c>
      <c r="C367" s="22">
        <v>1.4</v>
      </c>
      <c r="D367" s="22">
        <v>0.7</v>
      </c>
      <c r="E367" s="22">
        <v>1.5</v>
      </c>
      <c r="F367" s="22">
        <v>0.1</v>
      </c>
      <c r="G367" s="22">
        <f>E367-F367</f>
        <v>1.4</v>
      </c>
      <c r="H367" s="22">
        <f t="shared" si="25"/>
        <v>0.79999999999999993</v>
      </c>
      <c r="I367" s="79">
        <v>0.74722222222222079</v>
      </c>
      <c r="J367" s="22">
        <v>1</v>
      </c>
      <c r="K367" s="22">
        <v>-0.5</v>
      </c>
      <c r="L367" s="79">
        <v>0.25486111111111148</v>
      </c>
      <c r="M367" s="85">
        <v>97.4</v>
      </c>
      <c r="N367" s="67">
        <v>95.5</v>
      </c>
      <c r="O367" s="81">
        <v>96.491041666666604</v>
      </c>
      <c r="P367" s="118">
        <v>1021.50304223775</v>
      </c>
      <c r="Q367" s="68">
        <v>1018.04718373434</v>
      </c>
      <c r="R367" s="69">
        <v>1020.2891374686661</v>
      </c>
      <c r="S367" s="73">
        <v>3.70000000296</v>
      </c>
      <c r="T367" s="63">
        <v>1.9100000015280003</v>
      </c>
      <c r="U367" s="42">
        <v>0.59186131434209321</v>
      </c>
      <c r="V367" s="222" t="s">
        <v>234</v>
      </c>
      <c r="W367" s="223" t="s">
        <v>213</v>
      </c>
      <c r="X367" s="44">
        <v>1.2</v>
      </c>
      <c r="Y367" s="45">
        <v>3.6</v>
      </c>
      <c r="Z367" s="46">
        <v>0</v>
      </c>
      <c r="AA367" s="47">
        <v>1</v>
      </c>
      <c r="AB367" s="321" t="s">
        <v>553</v>
      </c>
    </row>
  </sheetData>
  <mergeCells count="6">
    <mergeCell ref="B1:I1"/>
    <mergeCell ref="W1:AA1"/>
    <mergeCell ref="S1:V1"/>
    <mergeCell ref="M1:O1"/>
    <mergeCell ref="P1:R1"/>
    <mergeCell ref="J1:L1"/>
  </mergeCells>
  <conditionalFormatting sqref="X3:X33 X61:X367">
    <cfRule type="cellIs" dxfId="195" priority="1358" operator="greaterThan">
      <formula>150</formula>
    </cfRule>
    <cfRule type="cellIs" dxfId="194" priority="1359" operator="between">
      <formula>90</formula>
      <formula>150</formula>
    </cfRule>
    <cfRule type="cellIs" dxfId="193" priority="1360" operator="between">
      <formula>50</formula>
      <formula>90</formula>
    </cfRule>
    <cfRule type="cellIs" dxfId="192" priority="1361" operator="between">
      <formula>30</formula>
      <formula>50</formula>
    </cfRule>
    <cfRule type="cellIs" dxfId="191" priority="1362" operator="between">
      <formula>15</formula>
      <formula>30</formula>
    </cfRule>
    <cfRule type="cellIs" dxfId="190" priority="1363" operator="between">
      <formula>5</formula>
      <formula>15</formula>
    </cfRule>
    <cfRule type="cellIs" dxfId="189" priority="1364" operator="between">
      <formula>0</formula>
      <formula>5</formula>
    </cfRule>
  </conditionalFormatting>
  <conditionalFormatting sqref="Y3:Y33 Y61:Y367">
    <cfRule type="cellIs" dxfId="188" priority="1350" operator="greaterThan">
      <formula>80</formula>
    </cfRule>
    <cfRule type="cellIs" dxfId="187" priority="1351" operator="between">
      <formula>60</formula>
      <formula>80</formula>
    </cfRule>
    <cfRule type="cellIs" dxfId="186" priority="1352" operator="between">
      <formula>45</formula>
      <formula>60</formula>
    </cfRule>
    <cfRule type="cellIs" dxfId="185" priority="1353" operator="between">
      <formula>30</formula>
      <formula>45</formula>
    </cfRule>
    <cfRule type="cellIs" dxfId="184" priority="1354" operator="between">
      <formula>15</formula>
      <formula>30</formula>
    </cfRule>
    <cfRule type="cellIs" dxfId="183" priority="1355" operator="between">
      <formula>10</formula>
      <formula>15</formula>
    </cfRule>
    <cfRule type="cellIs" dxfId="182" priority="1356" operator="between">
      <formula>5</formula>
      <formula>10</formula>
    </cfRule>
    <cfRule type="cellIs" dxfId="181" priority="1357" operator="between">
      <formula>0</formula>
      <formula>5</formula>
    </cfRule>
  </conditionalFormatting>
  <conditionalFormatting sqref="Z3:AA33 Z61:AA367">
    <cfRule type="cellIs" dxfId="180" priority="1334" operator="greaterThan">
      <formula>30</formula>
    </cfRule>
    <cfRule type="cellIs" dxfId="179" priority="1335" operator="between">
      <formula>20</formula>
      <formula>30</formula>
    </cfRule>
    <cfRule type="cellIs" dxfId="178" priority="1336" operator="between">
      <formula>15</formula>
      <formula>20</formula>
    </cfRule>
    <cfRule type="cellIs" dxfId="177" priority="1337" operator="between">
      <formula>10</formula>
      <formula>15</formula>
    </cfRule>
    <cfRule type="cellIs" dxfId="176" priority="1338" operator="between">
      <formula>7.5</formula>
      <formula>10</formula>
    </cfRule>
    <cfRule type="cellIs" dxfId="175" priority="1339" operator="between">
      <formula>5</formula>
      <formula>7.5</formula>
    </cfRule>
    <cfRule type="cellIs" dxfId="174" priority="1340" operator="between">
      <formula>3</formula>
      <formula>5</formula>
    </cfRule>
    <cfRule type="cellIs" dxfId="173" priority="1341" operator="between">
      <formula>1</formula>
      <formula>3</formula>
    </cfRule>
    <cfRule type="cellIs" dxfId="172" priority="1342" operator="between">
      <formula>0</formula>
      <formula>1</formula>
    </cfRule>
  </conditionalFormatting>
  <conditionalFormatting sqref="X3:AA33 X61:AA367">
    <cfRule type="cellIs" dxfId="171" priority="1333" operator="equal">
      <formula>0</formula>
    </cfRule>
  </conditionalFormatting>
  <conditionalFormatting sqref="V62:V82 V84:V92 W139:AB152 V140:V152 V3:AB33 V61:AB61 V123:AB138 V93:AB94 W95:AB122 V96:V122 AC47 V364:AB367 W343:AB363 V343:V362 W62:AB75 W76:AA76 W77:AB92 V153:AB342">
    <cfRule type="containsBlanks" dxfId="170" priority="1312">
      <formula>LEN(TRIM(V3))=0</formula>
    </cfRule>
  </conditionalFormatting>
  <conditionalFormatting sqref="V62:V82 V84:V92 V153:AB153 V123:AB138 W139:AB152 V140:V152 W62:AB75 W76:AA76 W77:AB92">
    <cfRule type="containsBlanks" priority="85">
      <formula>LEN(TRIM(V62))=0</formula>
    </cfRule>
  </conditionalFormatting>
  <conditionalFormatting sqref="P1:R33 P61:R1048576">
    <cfRule type="colorScale" priority="47">
      <colorScale>
        <cfvo type="num" val="980"/>
        <cfvo type="num" val="1010"/>
        <cfvo type="num" val="1040"/>
        <color rgb="FF00B0F0"/>
        <color rgb="FFFFEB84"/>
        <color rgb="FFFF0000"/>
      </colorScale>
    </cfRule>
  </conditionalFormatting>
  <conditionalFormatting sqref="M1:O33 M61:O1048576">
    <cfRule type="cellIs" dxfId="169" priority="44" operator="equal">
      <formula>100</formula>
    </cfRule>
    <cfRule type="colorScale" priority="46">
      <colorScale>
        <cfvo type="num" val="0"/>
        <cfvo type="num" val="50"/>
        <cfvo type="num" val="100"/>
        <color rgb="FFF8696B"/>
        <color rgb="FFFFEB84"/>
        <color rgb="FF63BE7B"/>
      </colorScale>
    </cfRule>
  </conditionalFormatting>
  <conditionalFormatting sqref="J1:L33 J61:L1048576">
    <cfRule type="colorScale" priority="45">
      <colorScale>
        <cfvo type="num" val="-30"/>
        <cfvo type="num" val="5"/>
        <cfvo type="num" val="20"/>
        <color theme="4"/>
        <color theme="0"/>
        <color rgb="FFC00000"/>
      </colorScale>
    </cfRule>
  </conditionalFormatting>
  <conditionalFormatting sqref="S1:S33 S61:S1048576">
    <cfRule type="colorScale" priority="41">
      <colorScale>
        <cfvo type="num" val="0"/>
        <cfvo type="num" val="12.5"/>
        <cfvo type="num" val="25"/>
        <color rgb="FF92D050"/>
        <color rgb="FFFFEB84"/>
        <color rgb="FFFF0000"/>
      </colorScale>
    </cfRule>
  </conditionalFormatting>
  <conditionalFormatting sqref="T1:T33 T61:T1048576">
    <cfRule type="colorScale" priority="40">
      <colorScale>
        <cfvo type="num" val="0"/>
        <cfvo type="num" val="10"/>
        <cfvo type="num" val="20"/>
        <color rgb="FF92D050"/>
        <color rgb="FFFFEB84"/>
        <color rgb="FFFF0000"/>
      </colorScale>
    </cfRule>
  </conditionalFormatting>
  <conditionalFormatting sqref="U1:U33 U61:U1048576">
    <cfRule type="colorScale" priority="39">
      <colorScale>
        <cfvo type="num" val="0"/>
        <cfvo type="num" val="4"/>
        <cfvo type="num" val="10"/>
        <color rgb="FF92D050"/>
        <color rgb="FFFFEB84"/>
        <color rgb="FFFF0000"/>
      </colorScale>
    </cfRule>
  </conditionalFormatting>
  <conditionalFormatting sqref="B1:I33 B61:I1048576">
    <cfRule type="colorScale" priority="37">
      <colorScale>
        <cfvo type="num" val="-20"/>
        <cfvo type="num" val="10"/>
        <cfvo type="num" val="35"/>
        <color rgb="FF00B0F0"/>
        <color rgb="FFFFEB84"/>
        <color rgb="FFFF0000"/>
      </colorScale>
    </cfRule>
  </conditionalFormatting>
  <conditionalFormatting sqref="B34:I60">
    <cfRule type="colorScale" priority="3">
      <colorScale>
        <cfvo type="num" val="-20"/>
        <cfvo type="num" val="10"/>
        <cfvo type="num" val="35"/>
        <color rgb="FF00B0F0"/>
        <color rgb="FFFFEB84"/>
        <color rgb="FFFF0000"/>
      </colorScale>
    </cfRule>
  </conditionalFormatting>
  <conditionalFormatting sqref="X34:X60">
    <cfRule type="cellIs" dxfId="168" priority="30" operator="greaterThan">
      <formula>150</formula>
    </cfRule>
    <cfRule type="cellIs" dxfId="167" priority="31" operator="between">
      <formula>90</formula>
      <formula>150</formula>
    </cfRule>
    <cfRule type="cellIs" dxfId="166" priority="32" operator="between">
      <formula>50</formula>
      <formula>90</formula>
    </cfRule>
    <cfRule type="cellIs" dxfId="165" priority="33" operator="between">
      <formula>30</formula>
      <formula>50</formula>
    </cfRule>
    <cfRule type="cellIs" dxfId="164" priority="34" operator="between">
      <formula>15</formula>
      <formula>30</formula>
    </cfRule>
    <cfRule type="cellIs" dxfId="163" priority="35" operator="between">
      <formula>5</formula>
      <formula>15</formula>
    </cfRule>
    <cfRule type="cellIs" dxfId="162" priority="36" operator="between">
      <formula>0</formula>
      <formula>5</formula>
    </cfRule>
  </conditionalFormatting>
  <conditionalFormatting sqref="Y34:Y60">
    <cfRule type="cellIs" dxfId="161" priority="22" operator="greaterThan">
      <formula>80</formula>
    </cfRule>
    <cfRule type="cellIs" dxfId="160" priority="23" operator="between">
      <formula>60</formula>
      <formula>80</formula>
    </cfRule>
    <cfRule type="cellIs" dxfId="159" priority="24" operator="between">
      <formula>45</formula>
      <formula>60</formula>
    </cfRule>
    <cfRule type="cellIs" dxfId="158" priority="25" operator="between">
      <formula>30</formula>
      <formula>45</formula>
    </cfRule>
    <cfRule type="cellIs" dxfId="157" priority="26" operator="between">
      <formula>15</formula>
      <formula>30</formula>
    </cfRule>
    <cfRule type="cellIs" dxfId="156" priority="27" operator="between">
      <formula>10</formula>
      <formula>15</formula>
    </cfRule>
    <cfRule type="cellIs" dxfId="155" priority="28" operator="between">
      <formula>5</formula>
      <formula>10</formula>
    </cfRule>
    <cfRule type="cellIs" dxfId="154" priority="29" operator="between">
      <formula>0</formula>
      <formula>5</formula>
    </cfRule>
  </conditionalFormatting>
  <conditionalFormatting sqref="Z34:AA60">
    <cfRule type="cellIs" dxfId="153" priority="13" operator="greaterThan">
      <formula>30</formula>
    </cfRule>
    <cfRule type="cellIs" dxfId="152" priority="14" operator="between">
      <formula>20</formula>
      <formula>30</formula>
    </cfRule>
    <cfRule type="cellIs" dxfId="151" priority="15" operator="between">
      <formula>15</formula>
      <formula>20</formula>
    </cfRule>
    <cfRule type="cellIs" dxfId="150" priority="16" operator="between">
      <formula>10</formula>
      <formula>15</formula>
    </cfRule>
    <cfRule type="cellIs" dxfId="149" priority="17" operator="between">
      <formula>7.5</formula>
      <formula>10</formula>
    </cfRule>
    <cfRule type="cellIs" dxfId="148" priority="18" operator="between">
      <formula>5</formula>
      <formula>7.5</formula>
    </cfRule>
    <cfRule type="cellIs" dxfId="147" priority="19" operator="between">
      <formula>3</formula>
      <formula>5</formula>
    </cfRule>
    <cfRule type="cellIs" dxfId="146" priority="20" operator="between">
      <formula>1</formula>
      <formula>3</formula>
    </cfRule>
    <cfRule type="cellIs" dxfId="145" priority="21" operator="between">
      <formula>0</formula>
      <formula>1</formula>
    </cfRule>
  </conditionalFormatting>
  <conditionalFormatting sqref="X34:AA60">
    <cfRule type="cellIs" dxfId="144" priority="12" operator="equal">
      <formula>0</formula>
    </cfRule>
  </conditionalFormatting>
  <conditionalFormatting sqref="V34:AB60">
    <cfRule type="containsBlanks" dxfId="143" priority="11">
      <formula>LEN(TRIM(V34))=0</formula>
    </cfRule>
  </conditionalFormatting>
  <conditionalFormatting sqref="P34:R60">
    <cfRule type="colorScale" priority="10">
      <colorScale>
        <cfvo type="num" val="980"/>
        <cfvo type="num" val="1010"/>
        <cfvo type="num" val="1040"/>
        <color rgb="FF00B0F0"/>
        <color rgb="FFFFEB84"/>
        <color rgb="FFFF0000"/>
      </colorScale>
    </cfRule>
  </conditionalFormatting>
  <conditionalFormatting sqref="M34:O60">
    <cfRule type="cellIs" dxfId="142" priority="7" operator="equal">
      <formula>99</formula>
    </cfRule>
    <cfRule type="colorScale" priority="9">
      <colorScale>
        <cfvo type="num" val="0"/>
        <cfvo type="num" val="50"/>
        <cfvo type="num" val="100"/>
        <color rgb="FFF8696B"/>
        <color rgb="FFFFEB84"/>
        <color rgb="FF63BE7B"/>
      </colorScale>
    </cfRule>
  </conditionalFormatting>
  <conditionalFormatting sqref="J34:L60">
    <cfRule type="colorScale" priority="8">
      <colorScale>
        <cfvo type="num" val="-30"/>
        <cfvo type="num" val="5"/>
        <cfvo type="num" val="20"/>
        <color theme="4"/>
        <color theme="0"/>
        <color rgb="FFC00000"/>
      </colorScale>
    </cfRule>
  </conditionalFormatting>
  <conditionalFormatting sqref="S34:S60">
    <cfRule type="colorScale" priority="6">
      <colorScale>
        <cfvo type="num" val="0"/>
        <cfvo type="num" val="12.5"/>
        <cfvo type="num" val="25"/>
        <color rgb="FF92D050"/>
        <color rgb="FFFFEB84"/>
        <color rgb="FFFF0000"/>
      </colorScale>
    </cfRule>
  </conditionalFormatting>
  <conditionalFormatting sqref="T34:T60">
    <cfRule type="colorScale" priority="5">
      <colorScale>
        <cfvo type="num" val="0"/>
        <cfvo type="num" val="10"/>
        <cfvo type="num" val="20"/>
        <color rgb="FF92D050"/>
        <color rgb="FFFFEB84"/>
        <color rgb="FFFF0000"/>
      </colorScale>
    </cfRule>
  </conditionalFormatting>
  <conditionalFormatting sqref="U34:U60">
    <cfRule type="colorScale" priority="4">
      <colorScale>
        <cfvo type="num" val="0"/>
        <cfvo type="num" val="4"/>
        <cfvo type="num" val="10"/>
        <color rgb="FF92D050"/>
        <color rgb="FFFFEB84"/>
        <color rgb="FFFF0000"/>
      </colorScale>
    </cfRule>
  </conditionalFormatting>
  <conditionalFormatting sqref="AB76">
    <cfRule type="containsBlanks" dxfId="141" priority="2">
      <formula>LEN(TRIM(AB76))=0</formula>
    </cfRule>
  </conditionalFormatting>
  <conditionalFormatting sqref="AB76">
    <cfRule type="containsBlanks" priority="1">
      <formula>LEN(TRIM(AB76))=0</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5"/>
  <dimension ref="A1:AV260"/>
  <sheetViews>
    <sheetView zoomScale="85" zoomScaleNormal="85" workbookViewId="0">
      <pane xSplit="2" ySplit="2" topLeftCell="C166" activePane="bottomRight" state="frozen"/>
      <selection pane="topRight" activeCell="C1" sqref="C1"/>
      <selection pane="bottomLeft" activeCell="A3" sqref="A3"/>
      <selection pane="bottomRight" activeCell="J182" sqref="J182"/>
    </sheetView>
  </sheetViews>
  <sheetFormatPr defaultColWidth="9.109375" defaultRowHeight="14.4" x14ac:dyDescent="0.3"/>
  <cols>
    <col min="1" max="1" width="12.33203125" style="152" customWidth="1"/>
    <col min="2" max="2" width="11.109375" style="152" customWidth="1"/>
    <col min="3" max="4" width="17.109375" style="152" customWidth="1"/>
    <col min="5" max="5" width="9.109375" style="152"/>
    <col min="6" max="6" width="11.109375" style="152" customWidth="1"/>
    <col min="7" max="7" width="11.44140625" style="152" customWidth="1"/>
    <col min="8" max="8" width="10" style="152" customWidth="1"/>
    <col min="9" max="9" width="12.109375" style="152" customWidth="1"/>
    <col min="10" max="10" width="11.44140625" style="152" bestFit="1" customWidth="1"/>
    <col min="11" max="12" width="9.109375" style="152"/>
    <col min="13" max="13" width="11.44140625" style="152" customWidth="1"/>
    <col min="14" max="14" width="10.44140625" style="152" bestFit="1" customWidth="1"/>
    <col min="15" max="15" width="10" style="152" customWidth="1"/>
    <col min="16" max="16" width="9.109375" style="152"/>
    <col min="17" max="17" width="13.33203125" style="152" customWidth="1"/>
    <col min="18" max="18" width="14.44140625" style="196" customWidth="1"/>
    <col min="19" max="19" width="12.44140625" style="152" customWidth="1"/>
    <col min="20" max="21" width="42.88671875" style="152" customWidth="1"/>
    <col min="22" max="16384" width="9.109375" style="152"/>
  </cols>
  <sheetData>
    <row r="1" spans="1:24" s="130" customFormat="1" ht="16.5" customHeight="1" thickBot="1" x14ac:dyDescent="0.35">
      <c r="A1" s="472" t="s">
        <v>0</v>
      </c>
      <c r="B1" s="472" t="s">
        <v>123</v>
      </c>
      <c r="C1" s="484" t="s">
        <v>205</v>
      </c>
      <c r="D1" s="485"/>
      <c r="E1" s="474" t="s">
        <v>125</v>
      </c>
      <c r="F1" s="475"/>
      <c r="G1" s="476"/>
      <c r="H1" s="480" t="s">
        <v>126</v>
      </c>
      <c r="I1" s="481"/>
      <c r="J1" s="477" t="s">
        <v>10</v>
      </c>
      <c r="K1" s="478"/>
      <c r="L1" s="479"/>
      <c r="M1" s="489" t="s">
        <v>127</v>
      </c>
      <c r="N1" s="490"/>
      <c r="O1" s="490"/>
      <c r="P1" s="491"/>
      <c r="Q1" s="492" t="s">
        <v>128</v>
      </c>
      <c r="R1" s="493"/>
      <c r="S1" s="493"/>
      <c r="T1" s="455" t="s">
        <v>129</v>
      </c>
      <c r="U1" s="128"/>
      <c r="V1" s="129"/>
      <c r="W1" s="129"/>
      <c r="X1" s="129"/>
    </row>
    <row r="2" spans="1:24" s="144" customFormat="1" ht="31.8" thickBot="1" x14ac:dyDescent="0.35">
      <c r="A2" s="473"/>
      <c r="B2" s="473"/>
      <c r="C2" s="378" t="s">
        <v>124</v>
      </c>
      <c r="D2" s="378" t="s">
        <v>204</v>
      </c>
      <c r="E2" s="131" t="s">
        <v>130</v>
      </c>
      <c r="F2" s="131" t="s">
        <v>198</v>
      </c>
      <c r="G2" s="131" t="s">
        <v>192</v>
      </c>
      <c r="H2" s="132" t="s">
        <v>132</v>
      </c>
      <c r="I2" s="133" t="s">
        <v>133</v>
      </c>
      <c r="J2" s="134" t="s">
        <v>134</v>
      </c>
      <c r="K2" s="135" t="s">
        <v>135</v>
      </c>
      <c r="L2" s="136" t="s">
        <v>133</v>
      </c>
      <c r="M2" s="137" t="s">
        <v>16</v>
      </c>
      <c r="N2" s="138" t="s">
        <v>17</v>
      </c>
      <c r="O2" s="138" t="s">
        <v>42</v>
      </c>
      <c r="P2" s="139" t="s">
        <v>136</v>
      </c>
      <c r="Q2" s="195" t="s">
        <v>17</v>
      </c>
      <c r="R2" s="140" t="s">
        <v>137</v>
      </c>
      <c r="S2" s="141" t="s">
        <v>138</v>
      </c>
      <c r="T2" s="456"/>
      <c r="U2" s="142"/>
      <c r="V2" s="143"/>
      <c r="W2" s="143"/>
      <c r="X2" s="143"/>
    </row>
    <row r="3" spans="1:24" s="167" customFormat="1" ht="15" thickBot="1" x14ac:dyDescent="0.35">
      <c r="Q3" s="199"/>
    </row>
    <row r="4" spans="1:24" s="101" customFormat="1" ht="15" thickBot="1" x14ac:dyDescent="0.35">
      <c r="A4" s="327" t="s">
        <v>110</v>
      </c>
      <c r="Q4" s="200"/>
    </row>
    <row r="5" spans="1:24" s="324" customFormat="1" x14ac:dyDescent="0.3">
      <c r="Q5" s="326"/>
    </row>
    <row r="6" spans="1:24" x14ac:dyDescent="0.3">
      <c r="Q6" s="196"/>
      <c r="R6" s="152"/>
    </row>
    <row r="7" spans="1:24" x14ac:dyDescent="0.3">
      <c r="Q7" s="196"/>
      <c r="R7" s="152"/>
    </row>
    <row r="8" spans="1:24" x14ac:dyDescent="0.3">
      <c r="C8" s="65" t="s">
        <v>139</v>
      </c>
      <c r="D8" s="65"/>
      <c r="G8" s="152">
        <f>COUNTIF(S5:S7,"*áno*")</f>
        <v>0</v>
      </c>
      <c r="Q8" s="196"/>
      <c r="R8" s="152"/>
    </row>
    <row r="9" spans="1:24" x14ac:dyDescent="0.3">
      <c r="C9" s="65" t="s">
        <v>140</v>
      </c>
      <c r="D9" s="65"/>
      <c r="G9" s="152">
        <f>COUNTIF(E5:E7,"*w*")</f>
        <v>0</v>
      </c>
      <c r="Q9" s="196"/>
      <c r="R9" s="152"/>
    </row>
    <row r="10" spans="1:24" x14ac:dyDescent="0.3">
      <c r="C10" s="65" t="s">
        <v>141</v>
      </c>
      <c r="D10" s="65"/>
      <c r="G10" s="152">
        <f>COUNTIF(E5:E7,"*P*")</f>
        <v>0</v>
      </c>
      <c r="Q10" s="196"/>
      <c r="R10" s="152"/>
    </row>
    <row r="11" spans="1:24" x14ac:dyDescent="0.3">
      <c r="C11" s="65" t="s">
        <v>142</v>
      </c>
      <c r="D11" s="65"/>
      <c r="G11" s="152">
        <f>COUNTIF(E5:E7,"*L*")</f>
        <v>0</v>
      </c>
      <c r="Q11" s="196"/>
      <c r="R11" s="152"/>
    </row>
    <row r="12" spans="1:24" x14ac:dyDescent="0.3">
      <c r="C12" s="65" t="s">
        <v>143</v>
      </c>
      <c r="D12" s="65"/>
      <c r="G12" s="152">
        <f>COUNTIF(E5:E7,"*V*")</f>
        <v>0</v>
      </c>
      <c r="Q12" s="196"/>
      <c r="R12" s="152"/>
    </row>
    <row r="13" spans="1:24" x14ac:dyDescent="0.3">
      <c r="C13" s="65"/>
      <c r="D13" s="65"/>
      <c r="Q13" s="196"/>
      <c r="R13" s="152"/>
    </row>
    <row r="14" spans="1:24" x14ac:dyDescent="0.3">
      <c r="C14" s="65" t="s">
        <v>144</v>
      </c>
      <c r="D14" s="65"/>
      <c r="G14" s="152">
        <f>COUNTIF(E5:E7,"*D*")</f>
        <v>0</v>
      </c>
      <c r="Q14" s="196"/>
      <c r="R14" s="152"/>
    </row>
    <row r="15" spans="1:24" x14ac:dyDescent="0.3">
      <c r="C15" s="65" t="s">
        <v>145</v>
      </c>
      <c r="D15" s="65"/>
      <c r="G15" s="152">
        <f>COUNTIF(E5:E7,"*S*")</f>
        <v>0</v>
      </c>
      <c r="Q15" s="196"/>
      <c r="R15" s="152"/>
    </row>
    <row r="16" spans="1:24" x14ac:dyDescent="0.3">
      <c r="C16" s="65" t="s">
        <v>146</v>
      </c>
      <c r="D16" s="65"/>
      <c r="G16" s="152">
        <f>COUNTIF(E5:E7,"*K*")</f>
        <v>0</v>
      </c>
      <c r="Q16" s="196"/>
      <c r="R16" s="152"/>
    </row>
    <row r="17" spans="1:24" s="167" customFormat="1" ht="15" thickBot="1" x14ac:dyDescent="0.35">
      <c r="C17" s="178" t="s">
        <v>147</v>
      </c>
      <c r="D17" s="178"/>
      <c r="G17" s="167">
        <f>COUNTIF(E5:E7,"*Z*")</f>
        <v>0</v>
      </c>
      <c r="Q17" s="199"/>
    </row>
    <row r="18" spans="1:24" s="101" customFormat="1" ht="15" thickBot="1" x14ac:dyDescent="0.35">
      <c r="A18" s="327" t="s">
        <v>109</v>
      </c>
      <c r="C18" s="238"/>
      <c r="D18" s="238"/>
      <c r="Q18" s="200"/>
    </row>
    <row r="19" spans="1:24" s="324" customFormat="1" x14ac:dyDescent="0.3">
      <c r="C19" s="325"/>
      <c r="D19" s="325"/>
      <c r="Q19" s="326"/>
    </row>
    <row r="20" spans="1:24" x14ac:dyDescent="0.3">
      <c r="C20" s="65"/>
      <c r="D20" s="65"/>
      <c r="Q20" s="196"/>
      <c r="R20" s="152"/>
    </row>
    <row r="21" spans="1:24" x14ac:dyDescent="0.3">
      <c r="C21" s="65"/>
      <c r="D21" s="65"/>
      <c r="Q21" s="196"/>
      <c r="R21" s="152"/>
    </row>
    <row r="22" spans="1:24" x14ac:dyDescent="0.3">
      <c r="C22" s="65" t="s">
        <v>139</v>
      </c>
      <c r="D22" s="65"/>
      <c r="G22" s="152">
        <f>COUNTIF(S19:S21,"*áno*")</f>
        <v>0</v>
      </c>
      <c r="Q22" s="196"/>
      <c r="R22" s="152"/>
    </row>
    <row r="23" spans="1:24" x14ac:dyDescent="0.3">
      <c r="C23" s="65" t="s">
        <v>140</v>
      </c>
      <c r="D23" s="65"/>
      <c r="G23" s="152">
        <f>COUNTIF(E19:E21,"*w*")</f>
        <v>0</v>
      </c>
      <c r="Q23" s="196"/>
      <c r="R23" s="152"/>
    </row>
    <row r="24" spans="1:24" x14ac:dyDescent="0.3">
      <c r="C24" s="65" t="s">
        <v>141</v>
      </c>
      <c r="D24" s="65"/>
      <c r="G24" s="152">
        <f>COUNTIF(E19:E21,"*P*")</f>
        <v>0</v>
      </c>
      <c r="Q24" s="196"/>
      <c r="R24" s="152"/>
    </row>
    <row r="25" spans="1:24" x14ac:dyDescent="0.3">
      <c r="C25" s="65" t="s">
        <v>142</v>
      </c>
      <c r="D25" s="65"/>
      <c r="G25" s="152">
        <f>COUNTIF(E19:E21,"*L*")</f>
        <v>0</v>
      </c>
      <c r="Q25" s="196"/>
      <c r="R25" s="152"/>
    </row>
    <row r="26" spans="1:24" x14ac:dyDescent="0.3">
      <c r="C26" s="65" t="s">
        <v>143</v>
      </c>
      <c r="D26" s="65"/>
      <c r="G26" s="152">
        <f>COUNTIF(E19:E21,"*V*")</f>
        <v>0</v>
      </c>
      <c r="Q26" s="196"/>
      <c r="R26" s="152"/>
    </row>
    <row r="27" spans="1:24" x14ac:dyDescent="0.3">
      <c r="C27" s="65"/>
      <c r="D27" s="65"/>
      <c r="Q27" s="196"/>
      <c r="R27" s="152"/>
    </row>
    <row r="28" spans="1:24" x14ac:dyDescent="0.3">
      <c r="C28" s="65" t="s">
        <v>144</v>
      </c>
      <c r="D28" s="65"/>
      <c r="G28" s="152">
        <f>COUNTIF(E19:E21,"*D*")</f>
        <v>0</v>
      </c>
      <c r="Q28" s="196"/>
      <c r="R28" s="152"/>
    </row>
    <row r="29" spans="1:24" x14ac:dyDescent="0.3">
      <c r="C29" s="65" t="s">
        <v>145</v>
      </c>
      <c r="D29" s="65"/>
      <c r="G29" s="152">
        <f>COUNTIF(E19:E21,"*S*")</f>
        <v>0</v>
      </c>
      <c r="Q29" s="196"/>
      <c r="R29" s="152"/>
    </row>
    <row r="30" spans="1:24" x14ac:dyDescent="0.3">
      <c r="C30" s="65" t="s">
        <v>146</v>
      </c>
      <c r="D30" s="65"/>
      <c r="G30" s="152">
        <f>COUNTIF(E19:E21,"*K*")</f>
        <v>0</v>
      </c>
      <c r="Q30" s="196"/>
      <c r="R30" s="152"/>
    </row>
    <row r="31" spans="1:24" ht="15" thickBot="1" x14ac:dyDescent="0.35">
      <c r="C31" s="65" t="s">
        <v>147</v>
      </c>
      <c r="D31" s="65"/>
      <c r="G31" s="152">
        <f>COUNTIF(E19:E21,"*Z*")</f>
        <v>0</v>
      </c>
      <c r="Q31" s="196"/>
      <c r="R31" s="152"/>
    </row>
    <row r="32" spans="1:24" s="149" customFormat="1" ht="16.2" thickBot="1" x14ac:dyDescent="0.35">
      <c r="A32" s="145" t="s">
        <v>106</v>
      </c>
      <c r="B32" s="146"/>
      <c r="C32" s="146"/>
      <c r="D32" s="146"/>
      <c r="E32" s="146"/>
      <c r="F32" s="146"/>
      <c r="G32" s="147"/>
      <c r="H32" s="148"/>
      <c r="I32" s="148"/>
      <c r="J32" s="148"/>
      <c r="K32" s="148"/>
      <c r="L32" s="148"/>
      <c r="M32" s="148"/>
      <c r="N32" s="148"/>
      <c r="O32" s="148"/>
      <c r="P32" s="148"/>
      <c r="Q32" s="197"/>
      <c r="R32" s="148"/>
      <c r="S32" s="148"/>
      <c r="U32" s="150"/>
      <c r="V32" s="150"/>
      <c r="W32" s="150"/>
      <c r="X32" s="150"/>
    </row>
    <row r="33" spans="1:20" ht="129.6" x14ac:dyDescent="0.3">
      <c r="A33" s="151">
        <v>44269</v>
      </c>
      <c r="B33" s="346" t="s">
        <v>275</v>
      </c>
      <c r="C33" s="152" t="s">
        <v>276</v>
      </c>
      <c r="D33" s="152" t="s">
        <v>277</v>
      </c>
      <c r="E33" s="152" t="s">
        <v>306</v>
      </c>
      <c r="F33" s="152" t="s">
        <v>278</v>
      </c>
      <c r="G33" s="153">
        <v>38</v>
      </c>
      <c r="H33" s="152" t="s">
        <v>279</v>
      </c>
      <c r="I33" s="152" t="s">
        <v>241</v>
      </c>
      <c r="J33" s="155">
        <v>4.4000000000000004</v>
      </c>
      <c r="K33" s="155">
        <v>1.7</v>
      </c>
      <c r="L33" s="152" t="s">
        <v>237</v>
      </c>
      <c r="M33" s="156">
        <v>3.6</v>
      </c>
      <c r="N33" s="157">
        <v>0.5</v>
      </c>
      <c r="O33" s="157">
        <v>5</v>
      </c>
      <c r="P33" s="158">
        <v>0</v>
      </c>
      <c r="Q33" s="196">
        <v>36</v>
      </c>
      <c r="R33" s="154">
        <v>6.6</v>
      </c>
      <c r="S33" s="152" t="s">
        <v>280</v>
      </c>
      <c r="T33" s="152" t="s">
        <v>281</v>
      </c>
    </row>
    <row r="34" spans="1:20" x14ac:dyDescent="0.3">
      <c r="A34" s="151"/>
      <c r="B34" s="346"/>
      <c r="G34" s="153"/>
      <c r="J34" s="155"/>
      <c r="K34" s="155"/>
      <c r="M34" s="156"/>
      <c r="N34" s="157"/>
      <c r="O34" s="157"/>
      <c r="P34" s="158"/>
      <c r="Q34" s="196"/>
      <c r="R34" s="154"/>
    </row>
    <row r="35" spans="1:20" x14ac:dyDescent="0.3">
      <c r="A35" s="151"/>
      <c r="G35" s="153"/>
      <c r="J35" s="155"/>
      <c r="K35" s="155"/>
      <c r="M35" s="156"/>
      <c r="N35" s="157"/>
      <c r="O35" s="157"/>
      <c r="P35" s="158"/>
      <c r="Q35" s="196"/>
      <c r="R35" s="154"/>
    </row>
    <row r="36" spans="1:20" x14ac:dyDescent="0.3">
      <c r="A36" s="151"/>
      <c r="G36" s="153"/>
      <c r="J36" s="155"/>
      <c r="K36" s="155"/>
      <c r="M36" s="156"/>
      <c r="N36" s="157"/>
      <c r="O36" s="157"/>
      <c r="P36" s="158"/>
      <c r="Q36" s="196"/>
      <c r="R36" s="154"/>
    </row>
    <row r="37" spans="1:20" x14ac:dyDescent="0.3">
      <c r="A37" s="151"/>
      <c r="C37" s="65" t="s">
        <v>139</v>
      </c>
      <c r="D37" s="65"/>
      <c r="G37" s="152">
        <f>COUNTIF(S33:S36,"*áno*")</f>
        <v>1</v>
      </c>
      <c r="J37" s="155"/>
      <c r="K37" s="155"/>
      <c r="M37" s="156"/>
      <c r="N37" s="157"/>
      <c r="O37" s="157"/>
      <c r="P37" s="158"/>
      <c r="Q37" s="196"/>
      <c r="R37" s="154"/>
    </row>
    <row r="38" spans="1:20" x14ac:dyDescent="0.3">
      <c r="A38" s="151"/>
      <c r="C38" s="65" t="s">
        <v>140</v>
      </c>
      <c r="D38" s="65"/>
      <c r="G38" s="152">
        <f>COUNTIF(E33:E36,"*w*")</f>
        <v>1</v>
      </c>
      <c r="J38" s="155"/>
      <c r="K38" s="155"/>
      <c r="M38" s="156"/>
      <c r="N38" s="157"/>
      <c r="O38" s="157"/>
      <c r="P38" s="158"/>
      <c r="Q38" s="196"/>
      <c r="R38" s="154"/>
    </row>
    <row r="39" spans="1:20" x14ac:dyDescent="0.3">
      <c r="A39" s="151"/>
      <c r="C39" s="65" t="s">
        <v>141</v>
      </c>
      <c r="D39" s="65"/>
      <c r="G39" s="152">
        <f>COUNTIF(E33:E36,"*P*")</f>
        <v>0</v>
      </c>
      <c r="J39" s="155"/>
      <c r="K39" s="155"/>
      <c r="M39" s="156"/>
      <c r="N39" s="157"/>
      <c r="O39" s="157"/>
      <c r="P39" s="158"/>
      <c r="Q39" s="196"/>
      <c r="R39" s="154"/>
    </row>
    <row r="40" spans="1:20" x14ac:dyDescent="0.3">
      <c r="A40" s="151"/>
      <c r="C40" s="65" t="s">
        <v>142</v>
      </c>
      <c r="D40" s="65"/>
      <c r="G40" s="152">
        <f>COUNTIF(E33:E36,"*L*")</f>
        <v>0</v>
      </c>
      <c r="J40" s="155"/>
      <c r="K40" s="155"/>
      <c r="M40" s="156"/>
      <c r="N40" s="157"/>
      <c r="O40" s="157"/>
      <c r="P40" s="158"/>
      <c r="Q40" s="196"/>
      <c r="R40" s="154"/>
    </row>
    <row r="41" spans="1:20" x14ac:dyDescent="0.3">
      <c r="A41" s="151"/>
      <c r="C41" s="65" t="s">
        <v>143</v>
      </c>
      <c r="D41" s="65"/>
      <c r="G41" s="152">
        <f>COUNTIF(E33:E36,"*V*")</f>
        <v>0</v>
      </c>
      <c r="J41" s="155"/>
      <c r="K41" s="155"/>
      <c r="M41" s="156"/>
      <c r="N41" s="157"/>
      <c r="O41" s="157"/>
      <c r="P41" s="158"/>
      <c r="Q41" s="196"/>
      <c r="R41" s="154"/>
    </row>
    <row r="42" spans="1:20" x14ac:dyDescent="0.3">
      <c r="A42" s="151"/>
      <c r="C42" s="65"/>
      <c r="D42" s="65"/>
      <c r="J42" s="155"/>
      <c r="K42" s="155"/>
      <c r="M42" s="156"/>
      <c r="N42" s="157"/>
      <c r="O42" s="157"/>
      <c r="P42" s="158"/>
      <c r="Q42" s="196"/>
      <c r="R42" s="154"/>
    </row>
    <row r="43" spans="1:20" x14ac:dyDescent="0.3">
      <c r="A43" s="151"/>
      <c r="C43" s="65" t="s">
        <v>144</v>
      </c>
      <c r="D43" s="65"/>
      <c r="G43" s="152">
        <f>COUNTIF(E32:E32,"*D*")</f>
        <v>0</v>
      </c>
      <c r="J43" s="155"/>
      <c r="K43" s="155"/>
      <c r="M43" s="156"/>
      <c r="N43" s="157"/>
      <c r="O43" s="157"/>
      <c r="P43" s="158"/>
      <c r="Q43" s="196"/>
      <c r="R43" s="154"/>
    </row>
    <row r="44" spans="1:20" x14ac:dyDescent="0.3">
      <c r="A44" s="151"/>
      <c r="C44" s="65" t="s">
        <v>145</v>
      </c>
      <c r="D44" s="65"/>
      <c r="G44" s="152">
        <f>COUNTIF(E33:E36,"*S*")</f>
        <v>1</v>
      </c>
      <c r="J44" s="155"/>
      <c r="K44" s="155"/>
      <c r="M44" s="156"/>
      <c r="N44" s="157"/>
      <c r="O44" s="157"/>
      <c r="P44" s="158"/>
      <c r="Q44" s="196"/>
      <c r="R44" s="154"/>
    </row>
    <row r="45" spans="1:20" x14ac:dyDescent="0.3">
      <c r="A45" s="151"/>
      <c r="C45" s="65" t="s">
        <v>146</v>
      </c>
      <c r="D45" s="65"/>
      <c r="G45" s="152">
        <f>COUNTIF(E33:E36,"*K*")</f>
        <v>0</v>
      </c>
      <c r="J45" s="155"/>
      <c r="K45" s="155"/>
      <c r="M45" s="156"/>
      <c r="N45" s="157"/>
      <c r="O45" s="157"/>
      <c r="P45" s="158"/>
      <c r="Q45" s="196"/>
      <c r="R45" s="154"/>
    </row>
    <row r="46" spans="1:20" ht="15" thickBot="1" x14ac:dyDescent="0.35">
      <c r="A46" s="151"/>
      <c r="C46" s="65" t="s">
        <v>147</v>
      </c>
      <c r="D46" s="65"/>
      <c r="G46" s="152">
        <f>COUNTIF(E33:E36,"*Z*")</f>
        <v>1</v>
      </c>
      <c r="J46" s="155"/>
      <c r="K46" s="155"/>
      <c r="M46" s="156"/>
      <c r="N46" s="157"/>
      <c r="O46" s="157"/>
      <c r="P46" s="158"/>
      <c r="Q46" s="196"/>
      <c r="R46" s="154"/>
    </row>
    <row r="47" spans="1:20" s="146" customFormat="1" ht="16.2" thickBot="1" x14ac:dyDescent="0.35">
      <c r="A47" s="159" t="s">
        <v>107</v>
      </c>
      <c r="G47" s="147"/>
      <c r="J47" s="161"/>
      <c r="K47" s="161"/>
      <c r="M47" s="162"/>
      <c r="N47" s="163"/>
      <c r="O47" s="163"/>
      <c r="P47" s="164"/>
      <c r="Q47" s="198"/>
      <c r="R47" s="160"/>
      <c r="S47" s="165"/>
    </row>
    <row r="48" spans="1:20" s="167" customFormat="1" ht="28.8" x14ac:dyDescent="0.3">
      <c r="A48" s="166">
        <v>44287</v>
      </c>
      <c r="B48" s="167" t="s">
        <v>292</v>
      </c>
      <c r="C48" s="167" t="s">
        <v>293</v>
      </c>
      <c r="D48" s="167" t="s">
        <v>294</v>
      </c>
      <c r="E48" s="167" t="s">
        <v>295</v>
      </c>
      <c r="F48" s="167" t="s">
        <v>296</v>
      </c>
      <c r="G48" s="168">
        <v>34</v>
      </c>
      <c r="H48" s="167" t="s">
        <v>279</v>
      </c>
      <c r="I48" s="167" t="s">
        <v>243</v>
      </c>
      <c r="J48" s="170">
        <v>7.8</v>
      </c>
      <c r="K48" s="170">
        <v>4.5</v>
      </c>
      <c r="L48" s="167" t="s">
        <v>232</v>
      </c>
      <c r="M48" s="171">
        <v>3.6</v>
      </c>
      <c r="N48" s="172">
        <v>0.1</v>
      </c>
      <c r="O48" s="172">
        <v>0</v>
      </c>
      <c r="P48" s="173">
        <v>0</v>
      </c>
      <c r="Q48" s="199">
        <v>11</v>
      </c>
      <c r="R48" s="169">
        <v>4.5</v>
      </c>
      <c r="S48" s="167" t="s">
        <v>280</v>
      </c>
      <c r="T48" s="167" t="s">
        <v>297</v>
      </c>
    </row>
    <row r="49" spans="1:20" s="167" customFormat="1" ht="57.6" x14ac:dyDescent="0.3">
      <c r="A49" s="166">
        <v>44287</v>
      </c>
      <c r="B49" s="175" t="s">
        <v>301</v>
      </c>
      <c r="C49" s="167" t="s">
        <v>293</v>
      </c>
      <c r="D49" s="167" t="s">
        <v>300</v>
      </c>
      <c r="E49" s="167" t="s">
        <v>299</v>
      </c>
      <c r="F49" s="167" t="s">
        <v>298</v>
      </c>
      <c r="G49" s="168">
        <v>45</v>
      </c>
      <c r="H49" s="167" t="s">
        <v>279</v>
      </c>
      <c r="I49" s="167" t="s">
        <v>325</v>
      </c>
      <c r="J49" s="170">
        <v>5.8</v>
      </c>
      <c r="K49" s="170">
        <v>2.2999999999999998</v>
      </c>
      <c r="L49" s="167" t="s">
        <v>242</v>
      </c>
      <c r="M49" s="171">
        <v>8.4</v>
      </c>
      <c r="N49" s="172">
        <v>5.3</v>
      </c>
      <c r="O49" s="172">
        <v>0</v>
      </c>
      <c r="P49" s="173">
        <v>0</v>
      </c>
      <c r="Q49" s="199">
        <v>348</v>
      </c>
      <c r="R49" s="169">
        <v>1.8</v>
      </c>
      <c r="S49" s="167" t="s">
        <v>280</v>
      </c>
      <c r="T49" s="167" t="s">
        <v>302</v>
      </c>
    </row>
    <row r="50" spans="1:20" s="167" customFormat="1" ht="115.2" x14ac:dyDescent="0.3">
      <c r="A50" s="166">
        <v>44293</v>
      </c>
      <c r="B50" s="175" t="s">
        <v>310</v>
      </c>
      <c r="C50" s="167" t="s">
        <v>311</v>
      </c>
      <c r="D50" s="167" t="s">
        <v>313</v>
      </c>
      <c r="E50" s="167" t="s">
        <v>312</v>
      </c>
      <c r="F50" s="167" t="s">
        <v>278</v>
      </c>
      <c r="G50" s="168">
        <v>35</v>
      </c>
      <c r="H50" s="167" t="s">
        <v>279</v>
      </c>
      <c r="I50" s="167" t="s">
        <v>236</v>
      </c>
      <c r="J50" s="170">
        <v>7.1</v>
      </c>
      <c r="K50" s="170">
        <v>1.7</v>
      </c>
      <c r="L50" s="167" t="s">
        <v>238</v>
      </c>
      <c r="M50" s="171">
        <v>1.2</v>
      </c>
      <c r="N50" s="172">
        <v>0.1</v>
      </c>
      <c r="O50" s="172">
        <v>0</v>
      </c>
      <c r="P50" s="173">
        <v>0</v>
      </c>
      <c r="Q50" s="199">
        <v>2</v>
      </c>
      <c r="R50" s="169">
        <v>4</v>
      </c>
      <c r="S50" s="167" t="s">
        <v>280</v>
      </c>
      <c r="T50" s="167" t="s">
        <v>314</v>
      </c>
    </row>
    <row r="51" spans="1:20" s="167" customFormat="1" ht="43.2" x14ac:dyDescent="0.3">
      <c r="A51" s="166">
        <v>44307</v>
      </c>
      <c r="B51" s="175" t="s">
        <v>321</v>
      </c>
      <c r="C51" s="167" t="s">
        <v>318</v>
      </c>
      <c r="D51" s="167" t="s">
        <v>319</v>
      </c>
      <c r="E51" s="167" t="s">
        <v>334</v>
      </c>
      <c r="F51" s="167" t="s">
        <v>278</v>
      </c>
      <c r="G51" s="168">
        <v>41</v>
      </c>
      <c r="H51" s="167" t="s">
        <v>279</v>
      </c>
      <c r="I51" s="167" t="s">
        <v>231</v>
      </c>
      <c r="J51" s="170">
        <v>5.4</v>
      </c>
      <c r="K51" s="170">
        <v>3.3</v>
      </c>
      <c r="L51" s="167" t="s">
        <v>231</v>
      </c>
      <c r="M51" s="171">
        <v>20.399999999999999</v>
      </c>
      <c r="N51" s="172">
        <v>1.9</v>
      </c>
      <c r="O51" s="172">
        <v>5</v>
      </c>
      <c r="P51" s="173">
        <v>0</v>
      </c>
      <c r="Q51" s="199">
        <v>26</v>
      </c>
      <c r="R51" s="169">
        <v>5</v>
      </c>
      <c r="S51" s="167" t="s">
        <v>280</v>
      </c>
      <c r="T51" s="167" t="s">
        <v>320</v>
      </c>
    </row>
    <row r="52" spans="1:20" s="167" customFormat="1" ht="72" x14ac:dyDescent="0.3">
      <c r="A52" s="166">
        <v>44308</v>
      </c>
      <c r="B52" s="175" t="s">
        <v>324</v>
      </c>
      <c r="C52" s="167" t="s">
        <v>276</v>
      </c>
      <c r="D52" s="167" t="s">
        <v>277</v>
      </c>
      <c r="E52" s="167" t="s">
        <v>335</v>
      </c>
      <c r="F52" s="167" t="s">
        <v>326</v>
      </c>
      <c r="G52" s="168">
        <v>40</v>
      </c>
      <c r="H52" s="167" t="s">
        <v>279</v>
      </c>
      <c r="I52" s="167" t="s">
        <v>325</v>
      </c>
      <c r="J52" s="170">
        <v>13.3</v>
      </c>
      <c r="K52" s="170">
        <v>3.8</v>
      </c>
      <c r="L52" s="167" t="s">
        <v>237</v>
      </c>
      <c r="M52" s="171">
        <v>21.6</v>
      </c>
      <c r="N52" s="172">
        <v>6.9</v>
      </c>
      <c r="O52" s="172">
        <v>0</v>
      </c>
      <c r="P52" s="173">
        <v>0</v>
      </c>
      <c r="Q52" s="199">
        <v>38</v>
      </c>
      <c r="R52" s="169">
        <v>2.2999999999999998</v>
      </c>
      <c r="S52" s="167" t="s">
        <v>280</v>
      </c>
      <c r="T52" s="167" t="s">
        <v>327</v>
      </c>
    </row>
    <row r="53" spans="1:20" s="167" customFormat="1" x14ac:dyDescent="0.3">
      <c r="A53" s="166"/>
      <c r="G53" s="168"/>
      <c r="J53" s="170"/>
      <c r="K53" s="170"/>
      <c r="M53" s="171"/>
      <c r="N53" s="172"/>
      <c r="O53" s="172"/>
      <c r="P53" s="173"/>
      <c r="Q53" s="199"/>
      <c r="R53" s="169"/>
    </row>
    <row r="54" spans="1:20" x14ac:dyDescent="0.3">
      <c r="A54" s="151"/>
      <c r="G54" s="153"/>
      <c r="J54" s="155"/>
      <c r="K54" s="155"/>
      <c r="M54" s="156"/>
      <c r="N54" s="157"/>
      <c r="O54" s="157"/>
      <c r="P54" s="158"/>
      <c r="Q54" s="196"/>
      <c r="R54" s="154"/>
    </row>
    <row r="55" spans="1:20" x14ac:dyDescent="0.3">
      <c r="A55" s="151"/>
      <c r="C55" s="65" t="s">
        <v>139</v>
      </c>
      <c r="D55" s="65"/>
      <c r="G55" s="152">
        <f>COUNTIF(S48:S54,"*áno*")</f>
        <v>5</v>
      </c>
      <c r="J55" s="155"/>
      <c r="K55" s="155"/>
      <c r="M55" s="156"/>
      <c r="N55" s="157"/>
      <c r="O55" s="157"/>
      <c r="P55" s="158"/>
      <c r="Q55" s="196"/>
      <c r="R55" s="154"/>
    </row>
    <row r="56" spans="1:20" x14ac:dyDescent="0.3">
      <c r="A56" s="151"/>
      <c r="C56" s="65" t="s">
        <v>140</v>
      </c>
      <c r="D56" s="65"/>
      <c r="G56" s="152">
        <f>COUNTIF(E48:E54,"*w*")</f>
        <v>4</v>
      </c>
      <c r="J56" s="155"/>
      <c r="K56" s="155"/>
      <c r="M56" s="156"/>
      <c r="N56" s="157"/>
      <c r="O56" s="157"/>
      <c r="P56" s="158"/>
      <c r="Q56" s="196"/>
      <c r="R56" s="154"/>
    </row>
    <row r="57" spans="1:20" x14ac:dyDescent="0.3">
      <c r="A57" s="151"/>
      <c r="C57" s="65" t="s">
        <v>141</v>
      </c>
      <c r="D57" s="65"/>
      <c r="G57" s="152">
        <f>COUNTIF(E48:E54,"*P*")</f>
        <v>2</v>
      </c>
      <c r="J57" s="155"/>
      <c r="K57" s="155"/>
      <c r="M57" s="156"/>
      <c r="N57" s="157"/>
      <c r="O57" s="157"/>
      <c r="P57" s="158"/>
      <c r="Q57" s="196"/>
      <c r="R57" s="154"/>
    </row>
    <row r="58" spans="1:20" x14ac:dyDescent="0.3">
      <c r="A58" s="151"/>
      <c r="C58" s="65" t="s">
        <v>142</v>
      </c>
      <c r="D58" s="65"/>
      <c r="G58" s="152">
        <f>COUNTIF(E48:E54,"*L*")</f>
        <v>3</v>
      </c>
      <c r="J58" s="155"/>
      <c r="K58" s="155"/>
      <c r="M58" s="156"/>
      <c r="N58" s="157"/>
      <c r="O58" s="157"/>
      <c r="P58" s="158"/>
      <c r="Q58" s="196"/>
      <c r="R58" s="154"/>
    </row>
    <row r="59" spans="1:20" x14ac:dyDescent="0.3">
      <c r="A59" s="151"/>
      <c r="C59" s="65" t="s">
        <v>143</v>
      </c>
      <c r="D59" s="65"/>
      <c r="G59" s="152">
        <f>COUNTIF(E48:E54,"*V*")</f>
        <v>0</v>
      </c>
      <c r="J59" s="155"/>
      <c r="K59" s="155"/>
      <c r="M59" s="156"/>
      <c r="N59" s="157"/>
      <c r="O59" s="157"/>
      <c r="P59" s="158"/>
      <c r="Q59" s="196"/>
      <c r="R59" s="154"/>
    </row>
    <row r="60" spans="1:20" x14ac:dyDescent="0.3">
      <c r="A60" s="151"/>
      <c r="C60" s="65"/>
      <c r="D60" s="65"/>
      <c r="J60" s="155"/>
      <c r="K60" s="155"/>
      <c r="M60" s="156"/>
      <c r="N60" s="157"/>
      <c r="O60" s="157"/>
      <c r="P60" s="158"/>
      <c r="Q60" s="196"/>
      <c r="R60" s="154"/>
    </row>
    <row r="61" spans="1:20" x14ac:dyDescent="0.3">
      <c r="A61" s="151"/>
      <c r="C61" s="65" t="s">
        <v>144</v>
      </c>
      <c r="D61" s="65"/>
      <c r="G61" s="152">
        <f>COUNTIF(E48:E54,"*D*")</f>
        <v>4</v>
      </c>
      <c r="J61" s="155"/>
      <c r="K61" s="155"/>
      <c r="M61" s="156"/>
      <c r="N61" s="157"/>
      <c r="O61" s="157"/>
      <c r="P61" s="158"/>
      <c r="Q61" s="196"/>
      <c r="R61" s="154"/>
    </row>
    <row r="62" spans="1:20" x14ac:dyDescent="0.3">
      <c r="A62" s="151"/>
      <c r="C62" s="65" t="s">
        <v>145</v>
      </c>
      <c r="D62" s="65"/>
      <c r="G62" s="152">
        <f>COUNTIF(E48:E54,"*S*")</f>
        <v>1</v>
      </c>
      <c r="J62" s="155"/>
      <c r="K62" s="155"/>
      <c r="M62" s="156"/>
      <c r="N62" s="157"/>
      <c r="O62" s="157"/>
      <c r="P62" s="158"/>
      <c r="Q62" s="196"/>
      <c r="R62" s="154"/>
    </row>
    <row r="63" spans="1:20" x14ac:dyDescent="0.3">
      <c r="A63" s="151"/>
      <c r="C63" s="65" t="s">
        <v>146</v>
      </c>
      <c r="D63" s="65"/>
      <c r="G63" s="152">
        <f>COUNTIF(E48:E54,"*K*")</f>
        <v>1</v>
      </c>
      <c r="J63" s="155"/>
      <c r="K63" s="155"/>
      <c r="M63" s="156"/>
      <c r="N63" s="157"/>
      <c r="O63" s="157"/>
      <c r="P63" s="158"/>
      <c r="Q63" s="196"/>
      <c r="R63" s="154"/>
    </row>
    <row r="64" spans="1:20" ht="15" thickBot="1" x14ac:dyDescent="0.35">
      <c r="A64" s="151"/>
      <c r="C64" s="65" t="s">
        <v>147</v>
      </c>
      <c r="D64" s="65"/>
      <c r="G64" s="152">
        <f>COUNTIF(E48:E54,"*Z*")</f>
        <v>5</v>
      </c>
      <c r="J64" s="155"/>
      <c r="K64" s="155"/>
      <c r="M64" s="156"/>
      <c r="N64" s="157"/>
      <c r="O64" s="157"/>
      <c r="P64" s="158"/>
      <c r="Q64" s="196"/>
      <c r="R64" s="154"/>
    </row>
    <row r="65" spans="1:20" s="146" customFormat="1" ht="16.2" thickBot="1" x14ac:dyDescent="0.35">
      <c r="A65" s="159" t="s">
        <v>108</v>
      </c>
      <c r="G65" s="147"/>
      <c r="J65" s="161"/>
      <c r="K65" s="161"/>
      <c r="M65" s="162"/>
      <c r="N65" s="163"/>
      <c r="O65" s="163"/>
      <c r="P65" s="164"/>
      <c r="Q65" s="198"/>
      <c r="R65" s="160"/>
    </row>
    <row r="66" spans="1:20" ht="28.8" x14ac:dyDescent="0.3">
      <c r="A66" s="151">
        <v>44321</v>
      </c>
      <c r="B66" s="346" t="s">
        <v>336</v>
      </c>
      <c r="C66" s="152" t="s">
        <v>276</v>
      </c>
      <c r="D66" s="152" t="s">
        <v>277</v>
      </c>
      <c r="E66" s="152" t="s">
        <v>335</v>
      </c>
      <c r="F66" s="152" t="s">
        <v>298</v>
      </c>
      <c r="G66" s="153">
        <v>53</v>
      </c>
      <c r="H66" s="152" t="s">
        <v>279</v>
      </c>
      <c r="I66" s="152" t="s">
        <v>325</v>
      </c>
      <c r="J66" s="155">
        <v>10.6</v>
      </c>
      <c r="K66" s="155">
        <v>2.7</v>
      </c>
      <c r="L66" s="152" t="s">
        <v>235</v>
      </c>
      <c r="M66" s="156">
        <v>25.2</v>
      </c>
      <c r="N66" s="157">
        <v>16.5</v>
      </c>
      <c r="O66" s="157">
        <v>0</v>
      </c>
      <c r="P66" s="158">
        <v>0</v>
      </c>
      <c r="Q66" s="196">
        <v>102</v>
      </c>
      <c r="R66" s="154">
        <v>0.6</v>
      </c>
      <c r="S66" s="152" t="s">
        <v>280</v>
      </c>
      <c r="T66" s="152" t="s">
        <v>337</v>
      </c>
    </row>
    <row r="67" spans="1:20" ht="28.8" x14ac:dyDescent="0.3">
      <c r="A67" s="151">
        <v>44341</v>
      </c>
      <c r="B67" s="346" t="s">
        <v>347</v>
      </c>
      <c r="C67" s="152" t="s">
        <v>345</v>
      </c>
      <c r="D67" s="152" t="s">
        <v>277</v>
      </c>
      <c r="E67" s="152" t="s">
        <v>335</v>
      </c>
      <c r="F67" s="152" t="s">
        <v>298</v>
      </c>
      <c r="G67" s="153">
        <v>53</v>
      </c>
      <c r="H67" s="152" t="s">
        <v>346</v>
      </c>
      <c r="I67" s="152" t="s">
        <v>325</v>
      </c>
      <c r="J67" s="155">
        <v>3.3</v>
      </c>
      <c r="K67" s="155">
        <v>1.4</v>
      </c>
      <c r="L67" s="152" t="s">
        <v>236</v>
      </c>
      <c r="M67" s="156">
        <v>10.8</v>
      </c>
      <c r="N67" s="157">
        <v>2.9</v>
      </c>
      <c r="O67" s="157">
        <v>0</v>
      </c>
      <c r="P67" s="158">
        <v>0</v>
      </c>
      <c r="Q67" s="196">
        <v>86</v>
      </c>
      <c r="R67" s="154">
        <v>1.2</v>
      </c>
      <c r="S67" s="152" t="s">
        <v>280</v>
      </c>
    </row>
    <row r="68" spans="1:20" x14ac:dyDescent="0.3">
      <c r="A68" s="151"/>
      <c r="B68" s="346"/>
      <c r="G68" s="153"/>
      <c r="J68" s="155"/>
      <c r="K68" s="155"/>
      <c r="M68" s="156"/>
      <c r="N68" s="157"/>
      <c r="O68" s="157"/>
      <c r="P68" s="158"/>
      <c r="Q68" s="196"/>
      <c r="R68" s="154"/>
    </row>
    <row r="69" spans="1:20" x14ac:dyDescent="0.3">
      <c r="A69" s="151"/>
      <c r="B69" s="346"/>
      <c r="G69" s="153"/>
      <c r="J69" s="155"/>
      <c r="K69" s="155"/>
      <c r="M69" s="156"/>
      <c r="N69" s="157"/>
      <c r="O69" s="157"/>
      <c r="P69" s="158"/>
      <c r="Q69" s="196"/>
      <c r="R69" s="154"/>
    </row>
    <row r="70" spans="1:20" x14ac:dyDescent="0.3">
      <c r="A70" s="151"/>
      <c r="B70" s="346"/>
      <c r="G70" s="153"/>
      <c r="J70" s="155"/>
      <c r="K70" s="155"/>
      <c r="M70" s="156"/>
      <c r="N70" s="157"/>
      <c r="O70" s="157"/>
      <c r="P70" s="158"/>
      <c r="Q70" s="196"/>
      <c r="R70" s="154"/>
    </row>
    <row r="71" spans="1:20" x14ac:dyDescent="0.3">
      <c r="A71" s="151"/>
      <c r="B71" s="346"/>
      <c r="G71" s="153"/>
      <c r="J71" s="155"/>
      <c r="K71" s="155"/>
      <c r="M71" s="156"/>
      <c r="N71" s="157"/>
      <c r="O71" s="157"/>
      <c r="P71" s="158"/>
      <c r="Q71" s="196"/>
      <c r="R71" s="154"/>
    </row>
    <row r="72" spans="1:20" x14ac:dyDescent="0.3">
      <c r="A72" s="151"/>
      <c r="B72" s="346"/>
      <c r="G72" s="153"/>
      <c r="J72" s="155"/>
      <c r="K72" s="155"/>
      <c r="M72" s="156"/>
      <c r="N72" s="157"/>
      <c r="O72" s="157"/>
      <c r="P72" s="158"/>
      <c r="Q72" s="196"/>
      <c r="R72" s="154"/>
    </row>
    <row r="73" spans="1:20" x14ac:dyDescent="0.3">
      <c r="A73" s="151"/>
      <c r="G73" s="153"/>
      <c r="J73" s="155"/>
      <c r="K73" s="155"/>
      <c r="M73" s="156"/>
      <c r="N73" s="157"/>
      <c r="O73" s="157"/>
      <c r="P73" s="158"/>
      <c r="Q73" s="196"/>
      <c r="R73" s="154"/>
    </row>
    <row r="74" spans="1:20" x14ac:dyDescent="0.3">
      <c r="A74" s="151"/>
      <c r="G74" s="153"/>
      <c r="J74" s="155"/>
      <c r="K74" s="155"/>
      <c r="M74" s="156"/>
      <c r="N74" s="157"/>
      <c r="O74" s="157"/>
      <c r="P74" s="158"/>
      <c r="Q74" s="196"/>
      <c r="R74" s="154"/>
    </row>
    <row r="75" spans="1:20" x14ac:dyDescent="0.3">
      <c r="A75" s="151"/>
      <c r="C75" s="65" t="s">
        <v>139</v>
      </c>
      <c r="D75" s="65"/>
      <c r="G75" s="152">
        <f>COUNTIF(S66:S74,"*áno*")</f>
        <v>2</v>
      </c>
      <c r="J75" s="155"/>
      <c r="K75" s="155"/>
      <c r="M75" s="156"/>
      <c r="N75" s="157"/>
      <c r="O75" s="157"/>
      <c r="P75" s="158"/>
      <c r="Q75" s="196"/>
      <c r="R75" s="154"/>
    </row>
    <row r="76" spans="1:20" x14ac:dyDescent="0.3">
      <c r="A76" s="151"/>
      <c r="C76" s="65" t="s">
        <v>140</v>
      </c>
      <c r="D76" s="65"/>
      <c r="G76" s="152">
        <f>COUNTIF(E66:E74,"*w*")</f>
        <v>2</v>
      </c>
      <c r="J76" s="155"/>
      <c r="K76" s="155"/>
      <c r="M76" s="156"/>
      <c r="N76" s="157"/>
      <c r="O76" s="157"/>
      <c r="P76" s="158"/>
      <c r="Q76" s="196"/>
      <c r="R76" s="154"/>
    </row>
    <row r="77" spans="1:20" x14ac:dyDescent="0.3">
      <c r="A77" s="151"/>
      <c r="C77" s="65" t="s">
        <v>141</v>
      </c>
      <c r="D77" s="65"/>
      <c r="G77" s="152">
        <f>COUNTIF(E66:E74,"*P*")</f>
        <v>2</v>
      </c>
      <c r="J77" s="155"/>
      <c r="K77" s="155"/>
      <c r="M77" s="156"/>
      <c r="N77" s="157"/>
      <c r="O77" s="157"/>
      <c r="P77" s="158"/>
      <c r="Q77" s="196"/>
      <c r="R77" s="154"/>
    </row>
    <row r="78" spans="1:20" x14ac:dyDescent="0.3">
      <c r="A78" s="151"/>
      <c r="C78" s="65" t="s">
        <v>142</v>
      </c>
      <c r="D78" s="65"/>
      <c r="G78" s="152">
        <f>COUNTIF(E66:E74,"*L*")</f>
        <v>0</v>
      </c>
      <c r="J78" s="155"/>
      <c r="K78" s="155"/>
      <c r="M78" s="156"/>
      <c r="N78" s="157"/>
      <c r="O78" s="157"/>
      <c r="P78" s="158"/>
      <c r="Q78" s="196"/>
      <c r="R78" s="154"/>
    </row>
    <row r="79" spans="1:20" x14ac:dyDescent="0.3">
      <c r="A79" s="151"/>
      <c r="C79" s="65" t="s">
        <v>143</v>
      </c>
      <c r="D79" s="65"/>
      <c r="G79" s="152">
        <f>COUNTIF(E66:E74,"*V*")</f>
        <v>0</v>
      </c>
      <c r="J79" s="155"/>
      <c r="K79" s="155"/>
      <c r="M79" s="156"/>
      <c r="N79" s="157"/>
      <c r="O79" s="157"/>
      <c r="P79" s="158"/>
      <c r="Q79" s="196"/>
      <c r="R79" s="154"/>
    </row>
    <row r="80" spans="1:20" x14ac:dyDescent="0.3">
      <c r="A80" s="151"/>
      <c r="C80" s="65"/>
      <c r="D80" s="65"/>
      <c r="J80" s="155"/>
      <c r="K80" s="155"/>
      <c r="M80" s="156"/>
      <c r="N80" s="157"/>
      <c r="O80" s="157"/>
      <c r="P80" s="158"/>
      <c r="Q80" s="196"/>
      <c r="R80" s="154"/>
    </row>
    <row r="81" spans="1:20" x14ac:dyDescent="0.3">
      <c r="A81" s="151"/>
      <c r="C81" s="65" t="s">
        <v>144</v>
      </c>
      <c r="D81" s="65"/>
      <c r="G81" s="152">
        <f>COUNTIF(E66:E74,"*D*")</f>
        <v>2</v>
      </c>
      <c r="J81" s="155"/>
      <c r="K81" s="155"/>
      <c r="M81" s="156"/>
      <c r="N81" s="157"/>
      <c r="O81" s="157"/>
      <c r="P81" s="158"/>
      <c r="Q81" s="196"/>
      <c r="R81" s="154"/>
    </row>
    <row r="82" spans="1:20" x14ac:dyDescent="0.3">
      <c r="A82" s="151"/>
      <c r="C82" s="65" t="s">
        <v>145</v>
      </c>
      <c r="D82" s="65"/>
      <c r="G82" s="152">
        <f>COUNTIF(E66:E74,"*S*")</f>
        <v>0</v>
      </c>
      <c r="J82" s="155"/>
      <c r="K82" s="155"/>
      <c r="M82" s="156"/>
      <c r="N82" s="157"/>
      <c r="O82" s="157"/>
      <c r="P82" s="158"/>
      <c r="Q82" s="196"/>
      <c r="R82" s="154"/>
    </row>
    <row r="83" spans="1:20" x14ac:dyDescent="0.3">
      <c r="A83" s="151"/>
      <c r="C83" s="65" t="s">
        <v>146</v>
      </c>
      <c r="D83" s="65"/>
      <c r="G83" s="152">
        <f>COUNTIF(E66:E74,"*K*")</f>
        <v>0</v>
      </c>
      <c r="J83" s="155"/>
      <c r="K83" s="155"/>
      <c r="M83" s="156"/>
      <c r="N83" s="157"/>
      <c r="O83" s="157"/>
      <c r="P83" s="158"/>
      <c r="Q83" s="196"/>
      <c r="R83" s="154"/>
    </row>
    <row r="84" spans="1:20" ht="15" thickBot="1" x14ac:dyDescent="0.35">
      <c r="A84" s="151"/>
      <c r="C84" s="65" t="s">
        <v>147</v>
      </c>
      <c r="D84" s="65"/>
      <c r="G84" s="152">
        <f>COUNTIF(E66:E74,"*Z*")</f>
        <v>2</v>
      </c>
      <c r="J84" s="155"/>
      <c r="K84" s="155"/>
      <c r="M84" s="156"/>
      <c r="N84" s="157"/>
      <c r="O84" s="157"/>
      <c r="P84" s="158"/>
      <c r="Q84" s="196"/>
      <c r="R84" s="154"/>
    </row>
    <row r="85" spans="1:20" s="146" customFormat="1" ht="16.2" thickBot="1" x14ac:dyDescent="0.35">
      <c r="A85" s="159" t="s">
        <v>112</v>
      </c>
      <c r="G85" s="147"/>
      <c r="J85" s="161"/>
      <c r="K85" s="161"/>
      <c r="M85" s="162"/>
      <c r="N85" s="163"/>
      <c r="O85" s="163"/>
      <c r="P85" s="164"/>
      <c r="Q85" s="198"/>
      <c r="R85" s="160"/>
    </row>
    <row r="86" spans="1:20" s="167" customFormat="1" ht="86.4" x14ac:dyDescent="0.3">
      <c r="A86" s="166">
        <v>44373</v>
      </c>
      <c r="B86" s="175" t="s">
        <v>364</v>
      </c>
      <c r="C86" s="167" t="s">
        <v>366</v>
      </c>
      <c r="D86" s="167" t="s">
        <v>367</v>
      </c>
      <c r="E86" s="167" t="s">
        <v>335</v>
      </c>
      <c r="F86" s="167" t="s">
        <v>298</v>
      </c>
      <c r="G86" s="168">
        <v>56</v>
      </c>
      <c r="H86" s="167" t="s">
        <v>365</v>
      </c>
      <c r="I86" s="167" t="s">
        <v>325</v>
      </c>
      <c r="J86" s="170">
        <v>6.7</v>
      </c>
      <c r="K86" s="170">
        <v>2.8</v>
      </c>
      <c r="L86" s="167" t="s">
        <v>235</v>
      </c>
      <c r="M86" s="171">
        <v>80.400000000000006</v>
      </c>
      <c r="N86" s="172">
        <v>12.9</v>
      </c>
      <c r="O86" s="172">
        <v>0</v>
      </c>
      <c r="P86" s="173">
        <v>0</v>
      </c>
      <c r="Q86" s="199">
        <v>481</v>
      </c>
      <c r="R86" s="169">
        <v>1.2</v>
      </c>
      <c r="S86" s="167" t="s">
        <v>280</v>
      </c>
      <c r="T86" s="167" t="s">
        <v>368</v>
      </c>
    </row>
    <row r="87" spans="1:20" s="167" customFormat="1" ht="115.2" x14ac:dyDescent="0.3">
      <c r="A87" s="166">
        <v>44376</v>
      </c>
      <c r="B87" s="175" t="s">
        <v>371</v>
      </c>
      <c r="C87" s="167" t="s">
        <v>293</v>
      </c>
      <c r="D87" s="167" t="s">
        <v>300</v>
      </c>
      <c r="E87" s="167" t="s">
        <v>372</v>
      </c>
      <c r="F87" s="167" t="s">
        <v>278</v>
      </c>
      <c r="G87" s="168">
        <v>40</v>
      </c>
      <c r="H87" s="167" t="s">
        <v>365</v>
      </c>
      <c r="I87" s="167" t="s">
        <v>235</v>
      </c>
      <c r="J87" s="170">
        <v>2.8</v>
      </c>
      <c r="K87" s="170">
        <v>0.9</v>
      </c>
      <c r="L87" s="167" t="s">
        <v>243</v>
      </c>
      <c r="M87" s="171">
        <v>0</v>
      </c>
      <c r="N87" s="172">
        <v>0</v>
      </c>
      <c r="O87" s="172">
        <v>0</v>
      </c>
      <c r="P87" s="173">
        <v>0</v>
      </c>
      <c r="Q87" s="199">
        <v>2</v>
      </c>
      <c r="R87" s="169">
        <v>13.7</v>
      </c>
      <c r="S87" s="167" t="s">
        <v>280</v>
      </c>
      <c r="T87" s="167" t="s">
        <v>373</v>
      </c>
    </row>
    <row r="88" spans="1:20" s="167" customFormat="1" ht="187.2" x14ac:dyDescent="0.3">
      <c r="A88" s="166">
        <v>44376</v>
      </c>
      <c r="B88" s="175" t="s">
        <v>374</v>
      </c>
      <c r="C88" s="167" t="s">
        <v>293</v>
      </c>
      <c r="D88" s="167" t="s">
        <v>294</v>
      </c>
      <c r="E88" s="167" t="s">
        <v>376</v>
      </c>
      <c r="F88" s="167" t="s">
        <v>375</v>
      </c>
      <c r="G88" s="168">
        <v>46</v>
      </c>
      <c r="H88" s="167" t="s">
        <v>279</v>
      </c>
      <c r="I88" s="167" t="s">
        <v>235</v>
      </c>
      <c r="J88" s="170">
        <v>5.3</v>
      </c>
      <c r="K88" s="170">
        <v>2.2999999999999998</v>
      </c>
      <c r="L88" s="167" t="s">
        <v>236</v>
      </c>
      <c r="M88" s="171">
        <v>6</v>
      </c>
      <c r="N88" s="172">
        <v>0.4</v>
      </c>
      <c r="O88" s="172">
        <v>0</v>
      </c>
      <c r="P88" s="173">
        <v>0</v>
      </c>
      <c r="Q88" s="199">
        <v>65</v>
      </c>
      <c r="R88" s="169">
        <v>4</v>
      </c>
      <c r="S88" s="167" t="s">
        <v>280</v>
      </c>
      <c r="T88" s="167" t="s">
        <v>377</v>
      </c>
    </row>
    <row r="89" spans="1:20" s="167" customFormat="1" ht="28.8" x14ac:dyDescent="0.3">
      <c r="A89" s="166">
        <v>44377</v>
      </c>
      <c r="B89" s="175" t="s">
        <v>379</v>
      </c>
      <c r="C89" s="167" t="s">
        <v>293</v>
      </c>
      <c r="D89" s="167" t="s">
        <v>381</v>
      </c>
      <c r="E89" s="167" t="s">
        <v>380</v>
      </c>
      <c r="F89" s="167" t="s">
        <v>278</v>
      </c>
      <c r="G89" s="168">
        <v>31</v>
      </c>
      <c r="H89" s="167" t="s">
        <v>382</v>
      </c>
      <c r="I89" s="167" t="s">
        <v>240</v>
      </c>
      <c r="J89" s="170">
        <v>3.3</v>
      </c>
      <c r="K89" s="170">
        <v>0.7</v>
      </c>
      <c r="L89" s="167" t="s">
        <v>235</v>
      </c>
      <c r="M89" s="171">
        <v>1.2</v>
      </c>
      <c r="N89" s="172">
        <v>0.1</v>
      </c>
      <c r="O89" s="172">
        <v>0</v>
      </c>
      <c r="P89" s="173">
        <v>0</v>
      </c>
      <c r="Q89" s="199">
        <v>80</v>
      </c>
      <c r="R89" s="169">
        <v>8.9</v>
      </c>
      <c r="S89" s="167" t="s">
        <v>280</v>
      </c>
      <c r="T89" s="167" t="s">
        <v>383</v>
      </c>
    </row>
    <row r="90" spans="1:20" s="167" customFormat="1" x14ac:dyDescent="0.3">
      <c r="A90" s="166"/>
      <c r="B90" s="175"/>
      <c r="G90" s="168"/>
      <c r="J90" s="170"/>
      <c r="K90" s="170"/>
      <c r="M90" s="171"/>
      <c r="N90" s="172"/>
      <c r="O90" s="172"/>
      <c r="P90" s="173"/>
      <c r="Q90" s="199"/>
      <c r="R90" s="169"/>
    </row>
    <row r="91" spans="1:20" s="167" customFormat="1" x14ac:dyDescent="0.3">
      <c r="A91" s="166"/>
      <c r="B91" s="175"/>
      <c r="G91" s="168"/>
      <c r="J91" s="170"/>
      <c r="K91" s="170"/>
      <c r="M91" s="171"/>
      <c r="N91" s="172"/>
      <c r="O91" s="172"/>
      <c r="P91" s="173"/>
      <c r="Q91" s="199"/>
      <c r="R91" s="169"/>
    </row>
    <row r="92" spans="1:20" s="167" customFormat="1" x14ac:dyDescent="0.3">
      <c r="A92" s="166"/>
      <c r="B92" s="175"/>
      <c r="G92" s="168"/>
      <c r="J92" s="170"/>
      <c r="K92" s="170"/>
      <c r="M92" s="171"/>
      <c r="N92" s="172"/>
      <c r="O92" s="172"/>
      <c r="P92" s="173"/>
      <c r="Q92" s="199"/>
      <c r="R92" s="169"/>
    </row>
    <row r="93" spans="1:20" s="167" customFormat="1" x14ac:dyDescent="0.3">
      <c r="A93" s="166"/>
      <c r="B93" s="175"/>
      <c r="G93" s="168"/>
      <c r="J93" s="170"/>
      <c r="K93" s="170"/>
      <c r="M93" s="171"/>
      <c r="N93" s="172"/>
      <c r="O93" s="172"/>
      <c r="P93" s="173"/>
      <c r="Q93" s="199"/>
      <c r="R93" s="169"/>
    </row>
    <row r="94" spans="1:20" s="167" customFormat="1" x14ac:dyDescent="0.3">
      <c r="A94" s="166"/>
      <c r="B94" s="175"/>
      <c r="G94" s="168"/>
      <c r="J94" s="170"/>
      <c r="K94" s="170"/>
      <c r="M94" s="171"/>
      <c r="N94" s="172"/>
      <c r="O94" s="172"/>
      <c r="P94" s="173"/>
      <c r="Q94" s="199"/>
      <c r="R94" s="169"/>
    </row>
    <row r="95" spans="1:20" s="167" customFormat="1" x14ac:dyDescent="0.3">
      <c r="A95" s="166"/>
      <c r="B95" s="175"/>
      <c r="G95" s="168"/>
      <c r="J95" s="170"/>
      <c r="K95" s="170"/>
      <c r="M95" s="171"/>
      <c r="N95" s="172"/>
      <c r="O95" s="172"/>
      <c r="P95" s="173"/>
      <c r="Q95" s="199"/>
      <c r="R95" s="169"/>
    </row>
    <row r="96" spans="1:20" s="167" customFormat="1" x14ac:dyDescent="0.3">
      <c r="A96" s="166"/>
      <c r="B96" s="175"/>
      <c r="G96" s="168"/>
      <c r="J96" s="170"/>
      <c r="K96" s="170"/>
      <c r="M96" s="171"/>
      <c r="N96" s="172"/>
      <c r="O96" s="172"/>
      <c r="P96" s="173"/>
      <c r="Q96" s="199"/>
      <c r="R96" s="169"/>
    </row>
    <row r="97" spans="1:18" s="167" customFormat="1" x14ac:dyDescent="0.3">
      <c r="A97" s="166"/>
      <c r="B97" s="175"/>
      <c r="G97" s="168"/>
      <c r="J97" s="170"/>
      <c r="K97" s="170"/>
      <c r="M97" s="171"/>
      <c r="N97" s="172"/>
      <c r="O97" s="172"/>
      <c r="P97" s="173"/>
      <c r="Q97" s="199"/>
      <c r="R97" s="169"/>
    </row>
    <row r="98" spans="1:18" s="167" customFormat="1" x14ac:dyDescent="0.3">
      <c r="A98" s="166"/>
      <c r="B98" s="175"/>
      <c r="G98" s="168"/>
      <c r="J98" s="170"/>
      <c r="K98" s="170"/>
      <c r="M98" s="171"/>
      <c r="N98" s="172"/>
      <c r="O98" s="172"/>
      <c r="P98" s="173"/>
      <c r="Q98" s="199"/>
      <c r="R98" s="169"/>
    </row>
    <row r="99" spans="1:18" s="167" customFormat="1" x14ac:dyDescent="0.3">
      <c r="A99" s="166"/>
      <c r="B99" s="175"/>
      <c r="G99" s="168"/>
      <c r="J99" s="170"/>
      <c r="K99" s="170"/>
      <c r="M99" s="171"/>
      <c r="N99" s="172"/>
      <c r="O99" s="172"/>
      <c r="P99" s="173"/>
      <c r="Q99" s="199"/>
      <c r="R99" s="169"/>
    </row>
    <row r="100" spans="1:18" s="167" customFormat="1" x14ac:dyDescent="0.3">
      <c r="A100" s="166"/>
      <c r="B100" s="175"/>
      <c r="G100" s="168"/>
      <c r="J100" s="170"/>
      <c r="K100" s="170"/>
      <c r="M100" s="171"/>
      <c r="N100" s="172"/>
      <c r="O100" s="172"/>
      <c r="P100" s="173"/>
      <c r="Q100" s="199"/>
      <c r="R100" s="169"/>
    </row>
    <row r="101" spans="1:18" s="167" customFormat="1" x14ac:dyDescent="0.3">
      <c r="A101" s="166"/>
      <c r="B101" s="175"/>
      <c r="G101" s="168"/>
      <c r="J101" s="170"/>
      <c r="K101" s="170"/>
      <c r="M101" s="171"/>
      <c r="N101" s="172"/>
      <c r="O101" s="172"/>
      <c r="P101" s="173"/>
      <c r="Q101" s="199"/>
      <c r="R101" s="169"/>
    </row>
    <row r="102" spans="1:18" s="167" customFormat="1" x14ac:dyDescent="0.3">
      <c r="A102" s="166"/>
      <c r="B102" s="175"/>
      <c r="G102" s="168"/>
      <c r="J102" s="170"/>
      <c r="K102" s="170"/>
      <c r="M102" s="171"/>
      <c r="N102" s="172"/>
      <c r="O102" s="172"/>
      <c r="P102" s="173"/>
      <c r="Q102" s="199"/>
      <c r="R102" s="169"/>
    </row>
    <row r="103" spans="1:18" s="167" customFormat="1" x14ac:dyDescent="0.3">
      <c r="A103" s="166"/>
      <c r="B103" s="175"/>
      <c r="G103" s="168"/>
      <c r="J103" s="170"/>
      <c r="K103" s="170"/>
      <c r="M103" s="171"/>
      <c r="N103" s="172"/>
      <c r="O103" s="172"/>
      <c r="P103" s="173"/>
      <c r="Q103" s="199"/>
      <c r="R103" s="169"/>
    </row>
    <row r="104" spans="1:18" s="167" customFormat="1" x14ac:dyDescent="0.3">
      <c r="A104" s="347"/>
      <c r="C104" s="65" t="s">
        <v>139</v>
      </c>
      <c r="D104" s="65"/>
      <c r="E104" s="152"/>
      <c r="F104" s="152"/>
      <c r="G104" s="152">
        <f>COUNTIF(S86:S103,"*áno*")</f>
        <v>4</v>
      </c>
      <c r="J104" s="170"/>
      <c r="K104" s="170"/>
      <c r="M104" s="171"/>
      <c r="N104" s="172"/>
      <c r="O104" s="172"/>
      <c r="P104" s="173"/>
      <c r="Q104" s="199"/>
      <c r="R104" s="169"/>
    </row>
    <row r="105" spans="1:18" s="167" customFormat="1" x14ac:dyDescent="0.3">
      <c r="A105" s="347"/>
      <c r="C105" s="65" t="s">
        <v>140</v>
      </c>
      <c r="D105" s="65"/>
      <c r="E105" s="152"/>
      <c r="F105" s="152"/>
      <c r="G105" s="152">
        <f>COUNTIF(E86:E103,"*w*")</f>
        <v>3</v>
      </c>
      <c r="J105" s="170"/>
      <c r="K105" s="170"/>
      <c r="M105" s="171"/>
      <c r="N105" s="172"/>
      <c r="O105" s="172"/>
      <c r="P105" s="173"/>
      <c r="Q105" s="199"/>
      <c r="R105" s="169"/>
    </row>
    <row r="106" spans="1:18" s="167" customFormat="1" x14ac:dyDescent="0.3">
      <c r="A106" s="347"/>
      <c r="C106" s="65" t="s">
        <v>141</v>
      </c>
      <c r="D106" s="65"/>
      <c r="E106" s="152"/>
      <c r="F106" s="152"/>
      <c r="G106" s="152">
        <f>COUNTIF(E86:E103,"*P*")</f>
        <v>1</v>
      </c>
      <c r="J106" s="170"/>
      <c r="K106" s="170"/>
      <c r="M106" s="171"/>
      <c r="N106" s="172"/>
      <c r="O106" s="172"/>
      <c r="P106" s="173"/>
      <c r="Q106" s="199"/>
      <c r="R106" s="169"/>
    </row>
    <row r="107" spans="1:18" s="167" customFormat="1" x14ac:dyDescent="0.3">
      <c r="A107" s="166"/>
      <c r="C107" s="65" t="s">
        <v>142</v>
      </c>
      <c r="D107" s="65"/>
      <c r="E107" s="152"/>
      <c r="F107" s="152"/>
      <c r="G107" s="152">
        <f>COUNTIF(E86:E103,"*L*")</f>
        <v>1</v>
      </c>
      <c r="J107" s="170"/>
      <c r="K107" s="170"/>
      <c r="M107" s="171"/>
      <c r="N107" s="172"/>
      <c r="O107" s="172"/>
      <c r="P107" s="173"/>
      <c r="Q107" s="199"/>
      <c r="R107" s="169"/>
    </row>
    <row r="108" spans="1:18" s="167" customFormat="1" x14ac:dyDescent="0.3">
      <c r="A108" s="166"/>
      <c r="C108" s="65" t="s">
        <v>143</v>
      </c>
      <c r="D108" s="65"/>
      <c r="E108" s="152"/>
      <c r="F108" s="152"/>
      <c r="G108" s="152">
        <f>COUNTIF(E86:E103,"*V*")</f>
        <v>2</v>
      </c>
      <c r="J108" s="170"/>
      <c r="K108" s="170"/>
      <c r="M108" s="171"/>
      <c r="N108" s="172"/>
      <c r="O108" s="172"/>
      <c r="P108" s="173"/>
      <c r="Q108" s="199"/>
      <c r="R108" s="169"/>
    </row>
    <row r="109" spans="1:18" s="167" customFormat="1" x14ac:dyDescent="0.3">
      <c r="A109" s="166"/>
      <c r="C109" s="65"/>
      <c r="D109" s="65"/>
      <c r="E109" s="152"/>
      <c r="F109" s="152"/>
      <c r="G109" s="152"/>
      <c r="J109" s="170"/>
      <c r="K109" s="170"/>
      <c r="M109" s="171"/>
      <c r="N109" s="172"/>
      <c r="O109" s="172"/>
      <c r="P109" s="173"/>
      <c r="Q109" s="199"/>
      <c r="R109" s="169"/>
    </row>
    <row r="110" spans="1:18" s="167" customFormat="1" x14ac:dyDescent="0.3">
      <c r="A110" s="166"/>
      <c r="C110" s="65" t="s">
        <v>144</v>
      </c>
      <c r="D110" s="65"/>
      <c r="E110" s="152"/>
      <c r="F110" s="152"/>
      <c r="G110" s="152">
        <f>COUNTIF(E86:E103,"*D*")</f>
        <v>4</v>
      </c>
      <c r="J110" s="170"/>
      <c r="K110" s="170"/>
      <c r="M110" s="171"/>
      <c r="N110" s="172"/>
      <c r="O110" s="172"/>
      <c r="P110" s="173"/>
      <c r="Q110" s="199"/>
      <c r="R110" s="169"/>
    </row>
    <row r="111" spans="1:18" s="167" customFormat="1" x14ac:dyDescent="0.3">
      <c r="A111" s="166"/>
      <c r="C111" s="65" t="s">
        <v>145</v>
      </c>
      <c r="D111" s="65"/>
      <c r="E111" s="152"/>
      <c r="F111" s="152"/>
      <c r="G111" s="152">
        <f>COUNTIF(E86:E103,"*S*")</f>
        <v>0</v>
      </c>
      <c r="J111" s="170"/>
      <c r="K111" s="170"/>
      <c r="M111" s="171"/>
      <c r="N111" s="172"/>
      <c r="O111" s="172"/>
      <c r="P111" s="173"/>
      <c r="Q111" s="199"/>
      <c r="R111" s="169"/>
    </row>
    <row r="112" spans="1:18" s="167" customFormat="1" x14ac:dyDescent="0.3">
      <c r="A112" s="166"/>
      <c r="C112" s="65" t="s">
        <v>146</v>
      </c>
      <c r="D112" s="65"/>
      <c r="E112" s="152"/>
      <c r="F112" s="152"/>
      <c r="G112" s="152">
        <f>COUNTIF(E86:E103,"*K*")</f>
        <v>0</v>
      </c>
      <c r="J112" s="170"/>
      <c r="K112" s="170"/>
      <c r="M112" s="171"/>
      <c r="N112" s="172"/>
      <c r="O112" s="172"/>
      <c r="P112" s="173"/>
      <c r="Q112" s="199"/>
      <c r="R112" s="169"/>
    </row>
    <row r="113" spans="1:20" s="167" customFormat="1" ht="15" thickBot="1" x14ac:dyDescent="0.35">
      <c r="A113" s="166"/>
      <c r="C113" s="178" t="s">
        <v>147</v>
      </c>
      <c r="D113" s="178"/>
      <c r="G113" s="167">
        <f>COUNTIF(E86:E103,"*Z*")</f>
        <v>3</v>
      </c>
      <c r="J113" s="170"/>
      <c r="K113" s="170"/>
      <c r="M113" s="171"/>
      <c r="N113" s="172"/>
      <c r="O113" s="172"/>
      <c r="P113" s="173"/>
      <c r="Q113" s="199"/>
      <c r="R113" s="169"/>
    </row>
    <row r="114" spans="1:20" s="101" customFormat="1" ht="15" thickBot="1" x14ac:dyDescent="0.35">
      <c r="A114" s="183" t="s">
        <v>111</v>
      </c>
      <c r="G114" s="184"/>
      <c r="J114" s="186"/>
      <c r="K114" s="186"/>
      <c r="M114" s="187"/>
      <c r="N114" s="188"/>
      <c r="O114" s="188"/>
      <c r="P114" s="189"/>
      <c r="Q114" s="200"/>
      <c r="R114" s="185"/>
    </row>
    <row r="115" spans="1:20" s="167" customFormat="1" ht="28.8" x14ac:dyDescent="0.3">
      <c r="A115" s="166">
        <v>44378</v>
      </c>
      <c r="B115" s="175" t="s">
        <v>384</v>
      </c>
      <c r="C115" s="167" t="s">
        <v>366</v>
      </c>
      <c r="D115" s="167" t="s">
        <v>381</v>
      </c>
      <c r="E115" s="167" t="s">
        <v>295</v>
      </c>
      <c r="F115" s="167" t="s">
        <v>278</v>
      </c>
      <c r="G115" s="168">
        <v>38</v>
      </c>
      <c r="H115" s="167" t="s">
        <v>365</v>
      </c>
      <c r="I115" s="167" t="s">
        <v>243</v>
      </c>
      <c r="J115" s="170">
        <v>3.3</v>
      </c>
      <c r="K115" s="170">
        <v>1.1000000000000001</v>
      </c>
      <c r="L115" s="167" t="s">
        <v>239</v>
      </c>
      <c r="M115" s="171">
        <v>18</v>
      </c>
      <c r="N115" s="172">
        <v>4.5999999999999996</v>
      </c>
      <c r="O115" s="172">
        <v>0</v>
      </c>
      <c r="P115" s="173">
        <v>0</v>
      </c>
      <c r="Q115" s="199">
        <v>7</v>
      </c>
      <c r="R115" s="169">
        <v>3.2</v>
      </c>
      <c r="S115" s="167" t="s">
        <v>280</v>
      </c>
    </row>
    <row r="116" spans="1:20" s="167" customFormat="1" ht="28.8" x14ac:dyDescent="0.3">
      <c r="A116" s="166">
        <v>44379</v>
      </c>
      <c r="B116" s="175" t="s">
        <v>389</v>
      </c>
      <c r="C116" s="167" t="s">
        <v>366</v>
      </c>
      <c r="D116" s="167" t="s">
        <v>313</v>
      </c>
      <c r="E116" s="167" t="s">
        <v>387</v>
      </c>
      <c r="F116" s="167" t="s">
        <v>278</v>
      </c>
      <c r="G116" s="168">
        <v>25</v>
      </c>
      <c r="H116" s="167" t="s">
        <v>388</v>
      </c>
      <c r="I116" s="167" t="s">
        <v>234</v>
      </c>
      <c r="J116" s="170">
        <v>1.7</v>
      </c>
      <c r="K116" s="170">
        <v>0.5</v>
      </c>
      <c r="L116" s="167" t="s">
        <v>242</v>
      </c>
      <c r="M116" s="171">
        <v>0</v>
      </c>
      <c r="N116" s="172">
        <v>0</v>
      </c>
      <c r="O116" s="172">
        <v>0</v>
      </c>
      <c r="P116" s="173">
        <v>0</v>
      </c>
      <c r="Q116" s="199">
        <v>1</v>
      </c>
      <c r="R116" s="169">
        <v>10.5</v>
      </c>
      <c r="S116" s="167" t="s">
        <v>280</v>
      </c>
    </row>
    <row r="117" spans="1:20" s="167" customFormat="1" ht="28.8" x14ac:dyDescent="0.3">
      <c r="A117" s="166">
        <v>44386</v>
      </c>
      <c r="B117" s="175" t="s">
        <v>394</v>
      </c>
      <c r="C117" s="167" t="s">
        <v>396</v>
      </c>
      <c r="D117" s="167" t="s">
        <v>381</v>
      </c>
      <c r="E117" s="167" t="s">
        <v>387</v>
      </c>
      <c r="F117" s="167" t="s">
        <v>278</v>
      </c>
      <c r="G117" s="168">
        <v>0</v>
      </c>
      <c r="H117" s="167" t="s">
        <v>393</v>
      </c>
      <c r="I117" s="167" t="s">
        <v>234</v>
      </c>
      <c r="J117" s="170">
        <v>8.5</v>
      </c>
      <c r="K117" s="170">
        <v>4.0999999999999996</v>
      </c>
      <c r="L117" s="167" t="s">
        <v>231</v>
      </c>
      <c r="M117" s="171">
        <v>0</v>
      </c>
      <c r="N117" s="172">
        <v>0</v>
      </c>
      <c r="O117" s="172">
        <v>0</v>
      </c>
      <c r="P117" s="173">
        <v>0</v>
      </c>
      <c r="Q117" s="199">
        <v>3</v>
      </c>
      <c r="R117" s="169">
        <v>24</v>
      </c>
      <c r="S117" s="167" t="s">
        <v>280</v>
      </c>
    </row>
    <row r="118" spans="1:20" s="167" customFormat="1" ht="28.8" x14ac:dyDescent="0.3">
      <c r="A118" s="166" t="s">
        <v>395</v>
      </c>
      <c r="B118" s="175" t="s">
        <v>398</v>
      </c>
      <c r="C118" s="167" t="s">
        <v>396</v>
      </c>
      <c r="D118" s="167" t="s">
        <v>277</v>
      </c>
      <c r="E118" s="167" t="s">
        <v>335</v>
      </c>
      <c r="F118" s="167" t="s">
        <v>298</v>
      </c>
      <c r="G118" s="168">
        <v>56</v>
      </c>
      <c r="H118" s="167" t="s">
        <v>393</v>
      </c>
      <c r="I118" s="167" t="s">
        <v>325</v>
      </c>
      <c r="J118" s="170">
        <v>6.4</v>
      </c>
      <c r="K118" s="170">
        <v>1.6</v>
      </c>
      <c r="L118" s="167" t="s">
        <v>235</v>
      </c>
      <c r="M118" s="171">
        <v>37.200000000000003</v>
      </c>
      <c r="N118" s="172">
        <v>23.6</v>
      </c>
      <c r="O118" s="172">
        <v>0</v>
      </c>
      <c r="P118" s="173">
        <v>0</v>
      </c>
      <c r="Q118" s="199">
        <v>512</v>
      </c>
      <c r="R118" s="169">
        <v>1.3</v>
      </c>
      <c r="S118" s="167" t="s">
        <v>280</v>
      </c>
    </row>
    <row r="119" spans="1:20" s="167" customFormat="1" ht="331.2" x14ac:dyDescent="0.3">
      <c r="A119" s="166">
        <v>44388</v>
      </c>
      <c r="B119" s="175" t="s">
        <v>401</v>
      </c>
      <c r="C119" s="167" t="s">
        <v>424</v>
      </c>
      <c r="D119" s="167" t="s">
        <v>402</v>
      </c>
      <c r="E119" s="167" t="s">
        <v>399</v>
      </c>
      <c r="F119" s="167" t="s">
        <v>298</v>
      </c>
      <c r="G119" s="168">
        <v>51</v>
      </c>
      <c r="H119" s="167" t="s">
        <v>400</v>
      </c>
      <c r="I119" s="167" t="s">
        <v>325</v>
      </c>
      <c r="J119" s="170">
        <v>8.5</v>
      </c>
      <c r="K119" s="170">
        <v>2.2999999999999998</v>
      </c>
      <c r="L119" s="167" t="s">
        <v>236</v>
      </c>
      <c r="M119" s="171">
        <v>18</v>
      </c>
      <c r="N119" s="172">
        <v>6.6</v>
      </c>
      <c r="O119" s="172">
        <v>10</v>
      </c>
      <c r="P119" s="173">
        <v>0</v>
      </c>
      <c r="Q119" s="199">
        <v>342</v>
      </c>
      <c r="R119" s="169">
        <v>1.4</v>
      </c>
      <c r="S119" s="167" t="s">
        <v>280</v>
      </c>
      <c r="T119" s="167" t="s">
        <v>403</v>
      </c>
    </row>
    <row r="120" spans="1:20" s="167" customFormat="1" ht="57.6" x14ac:dyDescent="0.3">
      <c r="A120" s="166">
        <v>44389</v>
      </c>
      <c r="B120" s="175" t="s">
        <v>405</v>
      </c>
      <c r="C120" s="167" t="s">
        <v>404</v>
      </c>
      <c r="D120" s="167" t="s">
        <v>313</v>
      </c>
      <c r="E120" s="167" t="s">
        <v>335</v>
      </c>
      <c r="F120" s="167" t="s">
        <v>298</v>
      </c>
      <c r="G120" s="168">
        <v>53</v>
      </c>
      <c r="H120" s="167" t="s">
        <v>382</v>
      </c>
      <c r="I120" s="167" t="s">
        <v>325</v>
      </c>
      <c r="J120" s="170">
        <v>6.1</v>
      </c>
      <c r="K120" s="170">
        <v>1.3</v>
      </c>
      <c r="L120" s="167" t="s">
        <v>235</v>
      </c>
      <c r="M120" s="171">
        <v>28.8</v>
      </c>
      <c r="N120" s="172">
        <v>5.5</v>
      </c>
      <c r="O120" s="172">
        <v>0</v>
      </c>
      <c r="P120" s="173">
        <v>0</v>
      </c>
      <c r="Q120" s="199">
        <v>95</v>
      </c>
      <c r="R120" s="169">
        <v>0.8</v>
      </c>
      <c r="S120" s="167" t="s">
        <v>280</v>
      </c>
      <c r="T120" s="167" t="s">
        <v>409</v>
      </c>
    </row>
    <row r="121" spans="1:20" s="167" customFormat="1" ht="57.6" x14ac:dyDescent="0.3">
      <c r="A121" s="166">
        <v>44389</v>
      </c>
      <c r="B121" s="175" t="s">
        <v>406</v>
      </c>
      <c r="C121" s="167" t="s">
        <v>404</v>
      </c>
      <c r="D121" s="167" t="s">
        <v>313</v>
      </c>
      <c r="E121" s="167" t="s">
        <v>299</v>
      </c>
      <c r="F121" s="167" t="s">
        <v>298</v>
      </c>
      <c r="G121" s="168">
        <v>41</v>
      </c>
      <c r="H121" s="167" t="s">
        <v>393</v>
      </c>
      <c r="I121" s="167" t="s">
        <v>325</v>
      </c>
      <c r="J121" s="170">
        <v>5.8</v>
      </c>
      <c r="K121" s="170">
        <v>1.7</v>
      </c>
      <c r="L121" s="167" t="s">
        <v>240</v>
      </c>
      <c r="M121" s="171">
        <v>7.2</v>
      </c>
      <c r="N121" s="172">
        <v>3.5</v>
      </c>
      <c r="O121" s="172">
        <v>0</v>
      </c>
      <c r="P121" s="173">
        <v>0</v>
      </c>
      <c r="Q121" s="199">
        <v>39</v>
      </c>
      <c r="R121" s="169">
        <v>2</v>
      </c>
      <c r="S121" s="167" t="s">
        <v>280</v>
      </c>
      <c r="T121" s="167" t="s">
        <v>407</v>
      </c>
    </row>
    <row r="122" spans="1:20" s="167" customFormat="1" ht="28.8" x14ac:dyDescent="0.3">
      <c r="A122" s="166">
        <v>44392</v>
      </c>
      <c r="B122" s="175" t="s">
        <v>412</v>
      </c>
      <c r="C122" s="167" t="s">
        <v>413</v>
      </c>
      <c r="D122" s="167" t="s">
        <v>277</v>
      </c>
      <c r="E122" s="167" t="s">
        <v>335</v>
      </c>
      <c r="F122" s="167" t="s">
        <v>298</v>
      </c>
      <c r="G122" s="168">
        <v>40</v>
      </c>
      <c r="H122" s="167" t="s">
        <v>393</v>
      </c>
      <c r="I122" s="167" t="s">
        <v>241</v>
      </c>
      <c r="J122" s="170">
        <v>5.3</v>
      </c>
      <c r="K122" s="170">
        <v>1</v>
      </c>
      <c r="L122" s="167" t="s">
        <v>242</v>
      </c>
      <c r="M122" s="171">
        <v>2.4</v>
      </c>
      <c r="N122" s="172">
        <v>0.4</v>
      </c>
      <c r="O122" s="172">
        <v>0</v>
      </c>
      <c r="P122" s="173">
        <v>0</v>
      </c>
      <c r="Q122" s="199">
        <v>226</v>
      </c>
      <c r="R122" s="169">
        <v>0.9</v>
      </c>
      <c r="S122" s="167" t="s">
        <v>280</v>
      </c>
    </row>
    <row r="123" spans="1:20" s="167" customFormat="1" ht="115.2" x14ac:dyDescent="0.3">
      <c r="A123" s="166">
        <v>44392</v>
      </c>
      <c r="B123" s="175" t="s">
        <v>415</v>
      </c>
      <c r="C123" s="167" t="s">
        <v>396</v>
      </c>
      <c r="D123" s="167" t="s">
        <v>277</v>
      </c>
      <c r="E123" s="167" t="s">
        <v>376</v>
      </c>
      <c r="F123" s="167" t="s">
        <v>326</v>
      </c>
      <c r="G123" s="168">
        <v>42</v>
      </c>
      <c r="H123" s="167" t="s">
        <v>393</v>
      </c>
      <c r="I123" s="167" t="s">
        <v>235</v>
      </c>
      <c r="J123" s="170">
        <v>4.2</v>
      </c>
      <c r="K123" s="170">
        <v>1.2</v>
      </c>
      <c r="L123" s="167" t="s">
        <v>235</v>
      </c>
      <c r="M123" s="171">
        <v>1.2</v>
      </c>
      <c r="N123" s="172">
        <v>0.2</v>
      </c>
      <c r="O123" s="172">
        <v>0</v>
      </c>
      <c r="P123" s="173">
        <v>0</v>
      </c>
      <c r="Q123" s="199">
        <v>305</v>
      </c>
      <c r="R123" s="169">
        <v>4.5</v>
      </c>
      <c r="S123" s="167" t="s">
        <v>280</v>
      </c>
      <c r="T123" s="167" t="s">
        <v>417</v>
      </c>
    </row>
    <row r="124" spans="1:20" s="167" customFormat="1" ht="28.8" x14ac:dyDescent="0.3">
      <c r="A124" s="166">
        <v>44392</v>
      </c>
      <c r="B124" s="175" t="s">
        <v>416</v>
      </c>
      <c r="C124" s="167" t="s">
        <v>396</v>
      </c>
      <c r="D124" s="167" t="s">
        <v>421</v>
      </c>
      <c r="E124" s="167" t="s">
        <v>303</v>
      </c>
      <c r="F124" s="167" t="s">
        <v>278</v>
      </c>
      <c r="G124" s="168">
        <v>24</v>
      </c>
      <c r="H124" s="167" t="s">
        <v>414</v>
      </c>
      <c r="I124" s="167" t="s">
        <v>303</v>
      </c>
      <c r="J124" s="170">
        <v>1.1000000000000001</v>
      </c>
      <c r="K124" s="170">
        <v>0.3</v>
      </c>
      <c r="L124" s="167" t="s">
        <v>231</v>
      </c>
      <c r="M124" s="171">
        <v>0</v>
      </c>
      <c r="N124" s="172">
        <v>0</v>
      </c>
      <c r="O124" s="172">
        <v>0</v>
      </c>
      <c r="P124" s="173">
        <v>0</v>
      </c>
      <c r="Q124" s="199">
        <v>12</v>
      </c>
      <c r="R124" s="169">
        <v>8.5</v>
      </c>
      <c r="S124" s="167" t="s">
        <v>280</v>
      </c>
      <c r="T124" s="167" t="s">
        <v>422</v>
      </c>
    </row>
    <row r="125" spans="1:20" s="167" customFormat="1" ht="86.4" x14ac:dyDescent="0.3">
      <c r="A125" s="166">
        <v>44392</v>
      </c>
      <c r="B125" s="175" t="s">
        <v>418</v>
      </c>
      <c r="C125" s="167" t="s">
        <v>396</v>
      </c>
      <c r="D125" s="167" t="s">
        <v>421</v>
      </c>
      <c r="E125" s="167" t="s">
        <v>420</v>
      </c>
      <c r="F125" s="167" t="s">
        <v>278</v>
      </c>
      <c r="G125" s="168">
        <v>48</v>
      </c>
      <c r="H125" s="167" t="s">
        <v>414</v>
      </c>
      <c r="I125" s="167" t="s">
        <v>231</v>
      </c>
      <c r="J125" s="170">
        <v>2.7</v>
      </c>
      <c r="K125" s="170">
        <v>0.8</v>
      </c>
      <c r="L125" s="167" t="s">
        <v>231</v>
      </c>
      <c r="M125" s="171">
        <v>8.4</v>
      </c>
      <c r="N125" s="172">
        <v>1.2</v>
      </c>
      <c r="O125" s="172">
        <v>0</v>
      </c>
      <c r="P125" s="173">
        <v>0</v>
      </c>
      <c r="Q125" s="199">
        <v>50</v>
      </c>
      <c r="R125" s="169">
        <v>7</v>
      </c>
      <c r="S125" s="167" t="s">
        <v>280</v>
      </c>
      <c r="T125" s="167" t="s">
        <v>419</v>
      </c>
    </row>
    <row r="126" spans="1:20" s="167" customFormat="1" ht="43.2" x14ac:dyDescent="0.3">
      <c r="A126" s="166">
        <v>44393</v>
      </c>
      <c r="B126" s="175" t="s">
        <v>427</v>
      </c>
      <c r="C126" s="167" t="s">
        <v>424</v>
      </c>
      <c r="D126" s="167" t="s">
        <v>402</v>
      </c>
      <c r="E126" s="167" t="s">
        <v>420</v>
      </c>
      <c r="F126" s="167" t="s">
        <v>278</v>
      </c>
      <c r="G126" s="168">
        <v>24</v>
      </c>
      <c r="H126" s="167" t="s">
        <v>425</v>
      </c>
      <c r="I126" s="167" t="s">
        <v>243</v>
      </c>
      <c r="J126" s="170">
        <v>9.9</v>
      </c>
      <c r="K126" s="170">
        <v>2.7</v>
      </c>
      <c r="L126" s="167" t="s">
        <v>237</v>
      </c>
      <c r="M126" s="171">
        <v>1.2</v>
      </c>
      <c r="N126" s="172">
        <v>0.1</v>
      </c>
      <c r="O126" s="172">
        <v>0</v>
      </c>
      <c r="P126" s="173">
        <v>0</v>
      </c>
      <c r="Q126" s="199">
        <v>10</v>
      </c>
      <c r="R126" s="169">
        <v>4.7</v>
      </c>
      <c r="S126" s="167" t="s">
        <v>280</v>
      </c>
      <c r="T126" s="167" t="s">
        <v>426</v>
      </c>
    </row>
    <row r="127" spans="1:20" s="167" customFormat="1" ht="72" x14ac:dyDescent="0.3">
      <c r="A127" s="166">
        <v>44394</v>
      </c>
      <c r="B127" s="175" t="s">
        <v>429</v>
      </c>
      <c r="C127" s="167" t="s">
        <v>431</v>
      </c>
      <c r="D127" s="167" t="s">
        <v>294</v>
      </c>
      <c r="E127" s="167" t="s">
        <v>372</v>
      </c>
      <c r="F127" s="167" t="s">
        <v>278</v>
      </c>
      <c r="G127" s="168">
        <v>35</v>
      </c>
      <c r="H127" s="167" t="s">
        <v>400</v>
      </c>
      <c r="I127" s="167" t="s">
        <v>237</v>
      </c>
      <c r="J127" s="170">
        <v>5.0999999999999996</v>
      </c>
      <c r="K127" s="170">
        <v>1.9</v>
      </c>
      <c r="L127" s="167" t="s">
        <v>240</v>
      </c>
      <c r="M127" s="171">
        <v>0</v>
      </c>
      <c r="N127" s="172">
        <v>0</v>
      </c>
      <c r="O127" s="172">
        <v>0</v>
      </c>
      <c r="P127" s="173">
        <v>0</v>
      </c>
      <c r="Q127" s="199">
        <v>5</v>
      </c>
      <c r="R127" s="169">
        <v>10.6</v>
      </c>
      <c r="S127" s="167" t="s">
        <v>280</v>
      </c>
      <c r="T127" s="167" t="s">
        <v>442</v>
      </c>
    </row>
    <row r="128" spans="1:20" s="167" customFormat="1" ht="28.8" x14ac:dyDescent="0.3">
      <c r="A128" s="166">
        <v>44394</v>
      </c>
      <c r="B128" s="175" t="s">
        <v>430</v>
      </c>
      <c r="C128" s="167" t="s">
        <v>431</v>
      </c>
      <c r="D128" s="167" t="s">
        <v>294</v>
      </c>
      <c r="E128" s="167" t="s">
        <v>303</v>
      </c>
      <c r="F128" s="167" t="s">
        <v>278</v>
      </c>
      <c r="G128" s="168">
        <v>0</v>
      </c>
      <c r="H128" s="167" t="s">
        <v>400</v>
      </c>
      <c r="I128" s="167" t="s">
        <v>237</v>
      </c>
      <c r="J128" s="170">
        <v>5.0999999999999996</v>
      </c>
      <c r="K128" s="170">
        <v>2.4</v>
      </c>
      <c r="L128" s="167" t="s">
        <v>235</v>
      </c>
      <c r="M128" s="171">
        <v>0</v>
      </c>
      <c r="N128" s="172">
        <v>0</v>
      </c>
      <c r="O128" s="172">
        <v>0</v>
      </c>
      <c r="P128" s="173">
        <v>0</v>
      </c>
      <c r="Q128" s="199">
        <v>2</v>
      </c>
      <c r="R128" s="169">
        <v>13</v>
      </c>
      <c r="S128" s="167" t="s">
        <v>280</v>
      </c>
      <c r="T128" s="167" t="s">
        <v>432</v>
      </c>
    </row>
    <row r="129" spans="1:20" s="167" customFormat="1" ht="28.8" x14ac:dyDescent="0.3">
      <c r="A129" s="166">
        <v>44395</v>
      </c>
      <c r="B129" s="175" t="s">
        <v>435</v>
      </c>
      <c r="C129" s="167" t="s">
        <v>431</v>
      </c>
      <c r="D129" s="167" t="s">
        <v>294</v>
      </c>
      <c r="E129" s="167" t="s">
        <v>387</v>
      </c>
      <c r="F129" s="167" t="s">
        <v>278</v>
      </c>
      <c r="G129" s="168">
        <v>0</v>
      </c>
      <c r="H129" s="167" t="s">
        <v>433</v>
      </c>
      <c r="I129" s="167" t="s">
        <v>237</v>
      </c>
      <c r="J129" s="170">
        <v>6.1</v>
      </c>
      <c r="K129" s="170">
        <v>3</v>
      </c>
      <c r="L129" s="167" t="s">
        <v>240</v>
      </c>
      <c r="M129" s="171">
        <v>0</v>
      </c>
      <c r="N129" s="172">
        <v>0</v>
      </c>
      <c r="O129" s="172">
        <v>0</v>
      </c>
      <c r="P129" s="173">
        <v>0</v>
      </c>
      <c r="Q129" s="199">
        <v>4</v>
      </c>
      <c r="R129" s="169">
        <v>14</v>
      </c>
      <c r="S129" s="167" t="s">
        <v>280</v>
      </c>
      <c r="T129" s="167" t="s">
        <v>434</v>
      </c>
    </row>
    <row r="130" spans="1:20" s="167" customFormat="1" ht="129.6" x14ac:dyDescent="0.3">
      <c r="A130" s="166">
        <v>44395</v>
      </c>
      <c r="B130" s="175" t="s">
        <v>437</v>
      </c>
      <c r="C130" s="167" t="s">
        <v>431</v>
      </c>
      <c r="D130" s="167" t="s">
        <v>439</v>
      </c>
      <c r="E130" s="167" t="s">
        <v>303</v>
      </c>
      <c r="F130" s="167" t="s">
        <v>438</v>
      </c>
      <c r="G130" s="168">
        <v>0</v>
      </c>
      <c r="H130" s="167" t="s">
        <v>408</v>
      </c>
      <c r="I130" s="167" t="s">
        <v>303</v>
      </c>
      <c r="J130" s="170">
        <v>8.3000000000000007</v>
      </c>
      <c r="K130" s="170">
        <v>3.1</v>
      </c>
      <c r="L130" s="167" t="s">
        <v>237</v>
      </c>
      <c r="M130" s="171">
        <v>0</v>
      </c>
      <c r="N130" s="172">
        <v>0</v>
      </c>
      <c r="O130" s="172">
        <v>0</v>
      </c>
      <c r="P130" s="173">
        <v>0</v>
      </c>
      <c r="Q130" s="199">
        <v>20</v>
      </c>
      <c r="R130" s="169">
        <v>15</v>
      </c>
      <c r="S130" s="167" t="s">
        <v>280</v>
      </c>
      <c r="T130" s="167" t="s">
        <v>440</v>
      </c>
    </row>
    <row r="131" spans="1:20" s="167" customFormat="1" ht="115.2" x14ac:dyDescent="0.3">
      <c r="A131" s="166">
        <v>44396</v>
      </c>
      <c r="B131" s="175" t="s">
        <v>441</v>
      </c>
      <c r="C131" s="167" t="s">
        <v>431</v>
      </c>
      <c r="D131" s="167" t="s">
        <v>313</v>
      </c>
      <c r="E131" s="167" t="s">
        <v>295</v>
      </c>
      <c r="F131" s="167" t="s">
        <v>298</v>
      </c>
      <c r="G131" s="168">
        <v>36</v>
      </c>
      <c r="H131" s="167" t="s">
        <v>414</v>
      </c>
      <c r="I131" s="167" t="s">
        <v>304</v>
      </c>
      <c r="J131" s="170">
        <v>7.5</v>
      </c>
      <c r="K131" s="170">
        <v>2</v>
      </c>
      <c r="L131" s="167" t="s">
        <v>231</v>
      </c>
      <c r="M131" s="171">
        <v>8.4</v>
      </c>
      <c r="N131" s="172">
        <v>1.5</v>
      </c>
      <c r="O131" s="172">
        <v>0</v>
      </c>
      <c r="P131" s="173">
        <v>0</v>
      </c>
      <c r="Q131" s="199">
        <v>31</v>
      </c>
      <c r="R131" s="169">
        <v>4.5</v>
      </c>
      <c r="S131" s="167" t="s">
        <v>280</v>
      </c>
      <c r="T131" s="167" t="s">
        <v>443</v>
      </c>
    </row>
    <row r="132" spans="1:20" s="167" customFormat="1" ht="57.6" x14ac:dyDescent="0.3">
      <c r="A132" s="166">
        <v>44403</v>
      </c>
      <c r="B132" s="175" t="s">
        <v>446</v>
      </c>
      <c r="C132" s="167" t="s">
        <v>449</v>
      </c>
      <c r="D132" s="167" t="s">
        <v>447</v>
      </c>
      <c r="E132" s="167" t="s">
        <v>335</v>
      </c>
      <c r="F132" s="167" t="s">
        <v>326</v>
      </c>
      <c r="G132" s="168">
        <v>51</v>
      </c>
      <c r="H132" s="167" t="s">
        <v>365</v>
      </c>
      <c r="I132" s="167" t="s">
        <v>325</v>
      </c>
      <c r="J132" s="170">
        <v>7.2</v>
      </c>
      <c r="K132" s="170">
        <v>1.5</v>
      </c>
      <c r="L132" s="167" t="s">
        <v>239</v>
      </c>
      <c r="M132" s="171"/>
      <c r="N132" s="172">
        <v>2.6</v>
      </c>
      <c r="O132" s="172">
        <v>0</v>
      </c>
      <c r="P132" s="173">
        <v>0</v>
      </c>
      <c r="Q132" s="199">
        <v>70</v>
      </c>
      <c r="R132" s="169">
        <v>1.5</v>
      </c>
      <c r="S132" s="167" t="s">
        <v>280</v>
      </c>
      <c r="T132" s="167" t="s">
        <v>458</v>
      </c>
    </row>
    <row r="133" spans="1:20" s="167" customFormat="1" ht="129.6" x14ac:dyDescent="0.3">
      <c r="A133" s="166">
        <v>44403</v>
      </c>
      <c r="B133" s="175" t="s">
        <v>448</v>
      </c>
      <c r="C133" s="167" t="s">
        <v>293</v>
      </c>
      <c r="D133" s="167" t="s">
        <v>450</v>
      </c>
      <c r="E133" s="167" t="s">
        <v>451</v>
      </c>
      <c r="F133" s="167" t="s">
        <v>375</v>
      </c>
      <c r="G133" s="168">
        <v>32</v>
      </c>
      <c r="H133" s="167" t="s">
        <v>393</v>
      </c>
      <c r="I133" s="167" t="s">
        <v>232</v>
      </c>
      <c r="J133" s="170">
        <v>6.8</v>
      </c>
      <c r="K133" s="170">
        <v>2.1</v>
      </c>
      <c r="L133" s="167" t="s">
        <v>231</v>
      </c>
      <c r="M133" s="171">
        <v>0</v>
      </c>
      <c r="N133" s="172">
        <v>0</v>
      </c>
      <c r="O133" s="172">
        <v>0</v>
      </c>
      <c r="P133" s="173">
        <v>0</v>
      </c>
      <c r="Q133" s="199">
        <v>72</v>
      </c>
      <c r="R133" s="169">
        <v>4.2</v>
      </c>
      <c r="S133" s="167" t="s">
        <v>280</v>
      </c>
      <c r="T133" s="167" t="s">
        <v>457</v>
      </c>
    </row>
    <row r="134" spans="1:20" s="167" customFormat="1" ht="201.6" x14ac:dyDescent="0.3">
      <c r="A134" s="166">
        <v>44404</v>
      </c>
      <c r="B134" s="175" t="s">
        <v>455</v>
      </c>
      <c r="C134" s="167" t="s">
        <v>293</v>
      </c>
      <c r="D134" s="167" t="s">
        <v>454</v>
      </c>
      <c r="E134" s="167" t="s">
        <v>387</v>
      </c>
      <c r="F134" s="167" t="s">
        <v>375</v>
      </c>
      <c r="G134" s="168">
        <v>3</v>
      </c>
      <c r="H134" s="167" t="s">
        <v>365</v>
      </c>
      <c r="I134" s="167" t="s">
        <v>240</v>
      </c>
      <c r="J134" s="170">
        <v>10.8</v>
      </c>
      <c r="K134" s="170">
        <v>3.4</v>
      </c>
      <c r="L134" s="167" t="s">
        <v>236</v>
      </c>
      <c r="M134" s="171">
        <v>0</v>
      </c>
      <c r="N134" s="172">
        <v>0</v>
      </c>
      <c r="O134" s="172">
        <v>0</v>
      </c>
      <c r="P134" s="173">
        <v>0</v>
      </c>
      <c r="Q134" s="199">
        <v>64</v>
      </c>
      <c r="R134" s="169">
        <v>10.4</v>
      </c>
      <c r="S134" s="167" t="s">
        <v>280</v>
      </c>
      <c r="T134" s="167" t="s">
        <v>456</v>
      </c>
    </row>
    <row r="135" spans="1:20" s="167" customFormat="1" ht="28.8" x14ac:dyDescent="0.3">
      <c r="A135" s="166" t="s">
        <v>460</v>
      </c>
      <c r="B135" s="175" t="s">
        <v>459</v>
      </c>
      <c r="C135" s="167" t="s">
        <v>461</v>
      </c>
      <c r="D135" s="167" t="s">
        <v>319</v>
      </c>
      <c r="E135" s="167" t="s">
        <v>387</v>
      </c>
      <c r="F135" s="167" t="s">
        <v>298</v>
      </c>
      <c r="G135" s="168">
        <v>0</v>
      </c>
      <c r="H135" s="167" t="s">
        <v>382</v>
      </c>
      <c r="I135" s="167" t="s">
        <v>235</v>
      </c>
      <c r="J135" s="170">
        <v>1.4</v>
      </c>
      <c r="K135" s="170">
        <v>0.3</v>
      </c>
      <c r="L135" s="167" t="s">
        <v>236</v>
      </c>
      <c r="M135" s="171">
        <v>0</v>
      </c>
      <c r="N135" s="172">
        <v>0</v>
      </c>
      <c r="O135" s="172">
        <v>0</v>
      </c>
      <c r="P135" s="173">
        <v>0</v>
      </c>
      <c r="Q135" s="199">
        <v>10</v>
      </c>
      <c r="R135" s="169">
        <v>10.6</v>
      </c>
      <c r="S135" s="167" t="s">
        <v>280</v>
      </c>
    </row>
    <row r="136" spans="1:20" s="167" customFormat="1" x14ac:dyDescent="0.3">
      <c r="A136" s="166"/>
      <c r="B136" s="175"/>
      <c r="G136" s="168"/>
      <c r="J136" s="170"/>
      <c r="K136" s="170"/>
      <c r="M136" s="171"/>
      <c r="N136" s="172"/>
      <c r="O136" s="172"/>
      <c r="P136" s="173"/>
      <c r="Q136" s="199"/>
      <c r="R136" s="169"/>
    </row>
    <row r="137" spans="1:20" s="167" customFormat="1" x14ac:dyDescent="0.3">
      <c r="A137" s="166"/>
      <c r="B137" s="175"/>
      <c r="G137" s="168"/>
      <c r="J137" s="170"/>
      <c r="K137" s="170"/>
      <c r="M137" s="171"/>
      <c r="N137" s="172"/>
      <c r="O137" s="172"/>
      <c r="P137" s="173"/>
      <c r="Q137" s="199"/>
      <c r="R137" s="169"/>
    </row>
    <row r="138" spans="1:20" s="167" customFormat="1" x14ac:dyDescent="0.3">
      <c r="A138" s="166"/>
      <c r="C138" s="65" t="s">
        <v>139</v>
      </c>
      <c r="D138" s="65"/>
      <c r="E138" s="152"/>
      <c r="F138" s="152"/>
      <c r="G138" s="152">
        <f>COUNTIF(S115:S136,"*áno*")</f>
        <v>21</v>
      </c>
      <c r="J138" s="170"/>
      <c r="K138" s="170"/>
      <c r="M138" s="171"/>
      <c r="N138" s="172"/>
      <c r="O138" s="172"/>
      <c r="P138" s="173"/>
      <c r="Q138" s="199"/>
      <c r="R138" s="169"/>
    </row>
    <row r="139" spans="1:20" s="167" customFormat="1" x14ac:dyDescent="0.3">
      <c r="A139" s="166"/>
      <c r="C139" s="65" t="s">
        <v>140</v>
      </c>
      <c r="D139" s="65"/>
      <c r="E139" s="152"/>
      <c r="F139" s="152"/>
      <c r="G139" s="152">
        <f>COUNTIF(E115:E136,"*w*")</f>
        <v>14</v>
      </c>
      <c r="J139" s="170"/>
      <c r="K139" s="170"/>
      <c r="M139" s="171"/>
      <c r="N139" s="172"/>
      <c r="O139" s="172"/>
      <c r="P139" s="173"/>
      <c r="Q139" s="199"/>
      <c r="R139" s="169"/>
    </row>
    <row r="140" spans="1:20" s="167" customFormat="1" x14ac:dyDescent="0.3">
      <c r="A140" s="166"/>
      <c r="C140" s="65" t="s">
        <v>141</v>
      </c>
      <c r="D140" s="65"/>
      <c r="E140" s="152"/>
      <c r="F140" s="152"/>
      <c r="G140" s="152">
        <f>COUNTIF(E115:E136,"*P*")</f>
        <v>6</v>
      </c>
      <c r="J140" s="170"/>
      <c r="K140" s="170"/>
      <c r="M140" s="171"/>
      <c r="N140" s="172"/>
      <c r="O140" s="172"/>
      <c r="P140" s="173"/>
      <c r="Q140" s="199"/>
      <c r="R140" s="169"/>
    </row>
    <row r="141" spans="1:20" s="167" customFormat="1" x14ac:dyDescent="0.3">
      <c r="A141" s="166"/>
      <c r="C141" s="65" t="s">
        <v>142</v>
      </c>
      <c r="D141" s="65"/>
      <c r="E141" s="152"/>
      <c r="F141" s="152"/>
      <c r="G141" s="152">
        <f>COUNTIF(E115:E136,"*L*")</f>
        <v>4</v>
      </c>
      <c r="J141" s="170"/>
      <c r="K141" s="170"/>
      <c r="M141" s="171"/>
      <c r="N141" s="172"/>
      <c r="O141" s="172"/>
      <c r="P141" s="173"/>
      <c r="Q141" s="199"/>
      <c r="R141" s="169"/>
    </row>
    <row r="142" spans="1:20" s="167" customFormat="1" x14ac:dyDescent="0.3">
      <c r="A142" s="166"/>
      <c r="C142" s="65" t="s">
        <v>143</v>
      </c>
      <c r="D142" s="65"/>
      <c r="E142" s="152"/>
      <c r="F142" s="152"/>
      <c r="G142" s="152">
        <f>COUNTIF(E115:E136,"*V*")</f>
        <v>11</v>
      </c>
      <c r="J142" s="170"/>
      <c r="K142" s="170"/>
      <c r="M142" s="171"/>
      <c r="N142" s="172"/>
      <c r="O142" s="172"/>
      <c r="P142" s="173"/>
      <c r="Q142" s="199"/>
      <c r="R142" s="169"/>
    </row>
    <row r="143" spans="1:20" s="167" customFormat="1" x14ac:dyDescent="0.3">
      <c r="A143" s="166"/>
      <c r="C143" s="65"/>
      <c r="D143" s="65"/>
      <c r="E143" s="152"/>
      <c r="F143" s="152"/>
      <c r="G143" s="152"/>
      <c r="J143" s="170"/>
      <c r="K143" s="170"/>
      <c r="M143" s="171"/>
      <c r="N143" s="172"/>
      <c r="O143" s="172"/>
      <c r="P143" s="173"/>
      <c r="Q143" s="199"/>
      <c r="R143" s="169"/>
    </row>
    <row r="144" spans="1:20" s="167" customFormat="1" x14ac:dyDescent="0.3">
      <c r="A144" s="166"/>
      <c r="C144" s="65" t="s">
        <v>144</v>
      </c>
      <c r="D144" s="65"/>
      <c r="E144" s="152"/>
      <c r="F144" s="152"/>
      <c r="G144" s="152">
        <f>COUNTIF(E115:E136,"*D*")</f>
        <v>13</v>
      </c>
      <c r="J144" s="170"/>
      <c r="K144" s="170"/>
      <c r="M144" s="171"/>
      <c r="N144" s="172"/>
      <c r="O144" s="172"/>
      <c r="P144" s="173"/>
      <c r="Q144" s="199"/>
      <c r="R144" s="169"/>
    </row>
    <row r="145" spans="1:20" s="167" customFormat="1" x14ac:dyDescent="0.3">
      <c r="A145" s="166"/>
      <c r="C145" s="65" t="s">
        <v>145</v>
      </c>
      <c r="D145" s="65"/>
      <c r="E145" s="152"/>
      <c r="F145" s="152"/>
      <c r="G145" s="152">
        <f>COUNTIF(E115:E136,"*S*")</f>
        <v>0</v>
      </c>
      <c r="J145" s="170"/>
      <c r="K145" s="170"/>
      <c r="M145" s="171"/>
      <c r="N145" s="172"/>
      <c r="O145" s="172"/>
      <c r="P145" s="173"/>
      <c r="Q145" s="199"/>
      <c r="R145" s="169"/>
    </row>
    <row r="146" spans="1:20" s="167" customFormat="1" x14ac:dyDescent="0.3">
      <c r="A146" s="166"/>
      <c r="C146" s="65" t="s">
        <v>146</v>
      </c>
      <c r="D146" s="65"/>
      <c r="E146" s="152"/>
      <c r="F146" s="152"/>
      <c r="G146" s="152">
        <f>COUNTIF(E115:E136,"*K*")</f>
        <v>1</v>
      </c>
      <c r="J146" s="170"/>
      <c r="K146" s="170"/>
      <c r="M146" s="171"/>
      <c r="N146" s="172"/>
      <c r="O146" s="172"/>
      <c r="P146" s="173"/>
      <c r="Q146" s="199"/>
      <c r="R146" s="169"/>
    </row>
    <row r="147" spans="1:20" s="167" customFormat="1" x14ac:dyDescent="0.3">
      <c r="A147" s="166"/>
      <c r="C147" s="65" t="s">
        <v>147</v>
      </c>
      <c r="D147" s="65"/>
      <c r="E147" s="152"/>
      <c r="F147" s="152"/>
      <c r="G147" s="152">
        <f>COUNTIF(E115:E136,"*Z*")</f>
        <v>11</v>
      </c>
      <c r="J147" s="170"/>
      <c r="K147" s="170"/>
      <c r="M147" s="171"/>
      <c r="N147" s="172"/>
      <c r="O147" s="172"/>
      <c r="P147" s="173"/>
      <c r="Q147" s="199"/>
      <c r="R147" s="169"/>
    </row>
    <row r="148" spans="1:20" s="167" customFormat="1" x14ac:dyDescent="0.3">
      <c r="A148" s="174" t="s">
        <v>113</v>
      </c>
      <c r="G148" s="168"/>
      <c r="J148" s="170"/>
      <c r="K148" s="170"/>
      <c r="M148" s="171"/>
      <c r="N148" s="172"/>
      <c r="O148" s="172"/>
      <c r="P148" s="173"/>
      <c r="Q148" s="199"/>
      <c r="R148" s="169"/>
    </row>
    <row r="149" spans="1:20" s="167" customFormat="1" ht="28.8" x14ac:dyDescent="0.3">
      <c r="A149" s="166">
        <v>44409</v>
      </c>
      <c r="B149" s="175" t="s">
        <v>464</v>
      </c>
      <c r="C149" s="167" t="s">
        <v>413</v>
      </c>
      <c r="D149" s="167" t="s">
        <v>381</v>
      </c>
      <c r="E149" s="167" t="s">
        <v>335</v>
      </c>
      <c r="F149" s="167" t="s">
        <v>298</v>
      </c>
      <c r="G149" s="168">
        <v>53</v>
      </c>
      <c r="H149" s="167" t="s">
        <v>346</v>
      </c>
      <c r="I149" s="167" t="s">
        <v>325</v>
      </c>
      <c r="J149" s="170">
        <v>5.3</v>
      </c>
      <c r="K149" s="170">
        <v>1.4</v>
      </c>
      <c r="L149" s="167" t="s">
        <v>236</v>
      </c>
      <c r="M149" s="171">
        <v>46.8</v>
      </c>
      <c r="N149" s="172">
        <v>15.5</v>
      </c>
      <c r="O149" s="172">
        <v>0</v>
      </c>
      <c r="P149" s="173">
        <v>0</v>
      </c>
      <c r="Q149" s="199">
        <v>120</v>
      </c>
      <c r="R149" s="169">
        <v>1.5</v>
      </c>
      <c r="S149" s="167" t="s">
        <v>280</v>
      </c>
    </row>
    <row r="150" spans="1:20" s="167" customFormat="1" ht="43.2" x14ac:dyDescent="0.3">
      <c r="A150" s="166">
        <v>44409</v>
      </c>
      <c r="B150" s="175" t="s">
        <v>465</v>
      </c>
      <c r="C150" s="167" t="s">
        <v>413</v>
      </c>
      <c r="D150" s="167" t="s">
        <v>277</v>
      </c>
      <c r="E150" s="167" t="s">
        <v>420</v>
      </c>
      <c r="F150" s="167" t="s">
        <v>298</v>
      </c>
      <c r="G150" s="168">
        <v>47</v>
      </c>
      <c r="H150" s="167" t="s">
        <v>382</v>
      </c>
      <c r="I150" s="167" t="s">
        <v>240</v>
      </c>
      <c r="J150" s="170">
        <v>4.7</v>
      </c>
      <c r="K150" s="170">
        <v>0.5</v>
      </c>
      <c r="L150" s="167" t="s">
        <v>234</v>
      </c>
      <c r="M150" s="171">
        <v>2.4</v>
      </c>
      <c r="N150" s="172">
        <v>2.2000000000000002</v>
      </c>
      <c r="O150" s="172">
        <v>0</v>
      </c>
      <c r="P150" s="173">
        <v>0</v>
      </c>
      <c r="Q150" s="199">
        <v>8</v>
      </c>
      <c r="R150" s="169">
        <v>7</v>
      </c>
      <c r="S150" s="167" t="s">
        <v>280</v>
      </c>
      <c r="T150" s="167" t="s">
        <v>466</v>
      </c>
    </row>
    <row r="151" spans="1:20" s="167" customFormat="1" ht="28.8" x14ac:dyDescent="0.3">
      <c r="A151" s="166">
        <v>44410</v>
      </c>
      <c r="B151" s="175" t="s">
        <v>468</v>
      </c>
      <c r="C151" s="167" t="s">
        <v>469</v>
      </c>
      <c r="D151" s="167" t="s">
        <v>470</v>
      </c>
      <c r="E151" s="167" t="s">
        <v>380</v>
      </c>
      <c r="F151" s="167" t="s">
        <v>471</v>
      </c>
      <c r="G151" s="168">
        <v>35</v>
      </c>
      <c r="H151" s="167" t="s">
        <v>279</v>
      </c>
      <c r="I151" s="167" t="s">
        <v>231</v>
      </c>
      <c r="J151" s="170">
        <v>4.4000000000000004</v>
      </c>
      <c r="K151" s="170">
        <v>1.5</v>
      </c>
      <c r="L151" s="167" t="s">
        <v>238</v>
      </c>
      <c r="M151" s="171">
        <v>2.4</v>
      </c>
      <c r="N151" s="172">
        <v>1.8</v>
      </c>
      <c r="O151" s="172">
        <v>0</v>
      </c>
      <c r="P151" s="173">
        <v>0</v>
      </c>
      <c r="Q151" s="199">
        <v>87</v>
      </c>
      <c r="R151" s="169">
        <v>5.9</v>
      </c>
      <c r="S151" s="167" t="s">
        <v>280</v>
      </c>
    </row>
    <row r="152" spans="1:20" s="167" customFormat="1" ht="72" x14ac:dyDescent="0.3">
      <c r="A152" s="166">
        <v>44411</v>
      </c>
      <c r="B152" s="175" t="s">
        <v>473</v>
      </c>
      <c r="C152" s="167" t="s">
        <v>474</v>
      </c>
      <c r="D152" s="167" t="s">
        <v>294</v>
      </c>
      <c r="E152" s="167" t="s">
        <v>335</v>
      </c>
      <c r="F152" s="167" t="s">
        <v>278</v>
      </c>
      <c r="G152" s="168">
        <v>53</v>
      </c>
      <c r="H152" s="167" t="s">
        <v>365</v>
      </c>
      <c r="I152" s="167" t="s">
        <v>325</v>
      </c>
      <c r="J152" s="170">
        <v>7.5</v>
      </c>
      <c r="K152" s="170">
        <v>2.4</v>
      </c>
      <c r="L152" s="167" t="s">
        <v>240</v>
      </c>
      <c r="M152" s="171">
        <v>33.6</v>
      </c>
      <c r="N152" s="172">
        <v>6.2</v>
      </c>
      <c r="O152" s="172">
        <v>0</v>
      </c>
      <c r="P152" s="173">
        <v>0</v>
      </c>
      <c r="Q152" s="199">
        <v>172</v>
      </c>
      <c r="R152" s="169">
        <v>1.4</v>
      </c>
      <c r="S152" s="167" t="s">
        <v>280</v>
      </c>
      <c r="T152" s="167" t="s">
        <v>475</v>
      </c>
    </row>
    <row r="153" spans="1:20" s="167" customFormat="1" ht="100.8" x14ac:dyDescent="0.3">
      <c r="A153" s="166">
        <v>44412</v>
      </c>
      <c r="B153" s="175" t="s">
        <v>478</v>
      </c>
      <c r="C153" s="167" t="s">
        <v>477</v>
      </c>
      <c r="D153" s="167" t="s">
        <v>294</v>
      </c>
      <c r="E153" s="167" t="s">
        <v>399</v>
      </c>
      <c r="F153" s="167" t="s">
        <v>375</v>
      </c>
      <c r="G153" s="168">
        <v>54</v>
      </c>
      <c r="H153" s="167" t="s">
        <v>479</v>
      </c>
      <c r="I153" s="167" t="s">
        <v>325</v>
      </c>
      <c r="J153" s="170">
        <v>7.8</v>
      </c>
      <c r="K153" s="170">
        <v>2.5</v>
      </c>
      <c r="L153" s="167" t="s">
        <v>231</v>
      </c>
      <c r="M153" s="171">
        <v>58.8</v>
      </c>
      <c r="N153" s="172">
        <v>10.1</v>
      </c>
      <c r="O153" s="172">
        <v>7</v>
      </c>
      <c r="P153" s="173">
        <v>0</v>
      </c>
      <c r="Q153" s="199">
        <v>103</v>
      </c>
      <c r="R153" s="169">
        <v>0.3</v>
      </c>
      <c r="S153" s="167" t="s">
        <v>280</v>
      </c>
      <c r="T153" s="167" t="s">
        <v>476</v>
      </c>
    </row>
    <row r="154" spans="1:20" s="167" customFormat="1" ht="158.4" x14ac:dyDescent="0.3">
      <c r="A154" s="166">
        <v>44413</v>
      </c>
      <c r="B154" s="175" t="s">
        <v>481</v>
      </c>
      <c r="C154" s="167" t="s">
        <v>482</v>
      </c>
      <c r="D154" s="167" t="s">
        <v>367</v>
      </c>
      <c r="E154" s="167" t="s">
        <v>295</v>
      </c>
      <c r="F154" s="167" t="s">
        <v>438</v>
      </c>
      <c r="G154" s="168">
        <v>50</v>
      </c>
      <c r="H154" s="167" t="s">
        <v>414</v>
      </c>
      <c r="I154" s="167" t="s">
        <v>303</v>
      </c>
      <c r="J154" s="170">
        <v>9.1999999999999993</v>
      </c>
      <c r="K154" s="170">
        <v>2.6</v>
      </c>
      <c r="L154" s="167" t="s">
        <v>232</v>
      </c>
      <c r="M154" s="171">
        <v>36</v>
      </c>
      <c r="N154" s="172">
        <v>9.3000000000000007</v>
      </c>
      <c r="O154" s="172">
        <v>0</v>
      </c>
      <c r="P154" s="173">
        <v>0</v>
      </c>
      <c r="Q154" s="199">
        <v>7</v>
      </c>
      <c r="R154" s="169">
        <v>4</v>
      </c>
      <c r="S154" s="167" t="s">
        <v>280</v>
      </c>
      <c r="T154" s="167" t="s">
        <v>484</v>
      </c>
    </row>
    <row r="155" spans="1:20" s="167" customFormat="1" ht="28.8" x14ac:dyDescent="0.3">
      <c r="A155" s="166">
        <v>44417</v>
      </c>
      <c r="B155" s="175" t="s">
        <v>486</v>
      </c>
      <c r="C155" s="167" t="s">
        <v>413</v>
      </c>
      <c r="D155" s="167" t="s">
        <v>277</v>
      </c>
      <c r="E155" s="167" t="s">
        <v>335</v>
      </c>
      <c r="F155" s="167" t="s">
        <v>298</v>
      </c>
      <c r="G155" s="168">
        <v>51</v>
      </c>
      <c r="H155" s="167" t="s">
        <v>365</v>
      </c>
      <c r="I155" s="167" t="s">
        <v>325</v>
      </c>
      <c r="J155" s="170">
        <v>6.5</v>
      </c>
      <c r="K155" s="170">
        <v>1.4</v>
      </c>
      <c r="L155" s="167" t="s">
        <v>236</v>
      </c>
      <c r="M155" s="171">
        <v>31.2</v>
      </c>
      <c r="N155" s="172">
        <v>7.9</v>
      </c>
      <c r="O155" s="157">
        <v>0</v>
      </c>
      <c r="P155" s="158">
        <v>0</v>
      </c>
      <c r="Q155" s="196">
        <v>104</v>
      </c>
      <c r="R155" s="154">
        <v>1.1000000000000001</v>
      </c>
      <c r="S155" s="152" t="s">
        <v>280</v>
      </c>
    </row>
    <row r="156" spans="1:20" s="167" customFormat="1" ht="187.2" x14ac:dyDescent="0.3">
      <c r="A156" s="166">
        <v>44419</v>
      </c>
      <c r="B156" s="175" t="s">
        <v>489</v>
      </c>
      <c r="C156" s="167" t="s">
        <v>487</v>
      </c>
      <c r="D156" s="167" t="s">
        <v>294</v>
      </c>
      <c r="E156" s="167" t="s">
        <v>334</v>
      </c>
      <c r="F156" s="167" t="s">
        <v>375</v>
      </c>
      <c r="G156" s="168">
        <v>57</v>
      </c>
      <c r="H156" s="167" t="s">
        <v>488</v>
      </c>
      <c r="I156" s="167" t="s">
        <v>240</v>
      </c>
      <c r="J156" s="170">
        <v>3.3</v>
      </c>
      <c r="K156" s="170">
        <v>1.9</v>
      </c>
      <c r="L156" s="167" t="s">
        <v>236</v>
      </c>
      <c r="M156" s="171">
        <v>51.6</v>
      </c>
      <c r="N156" s="172">
        <v>6</v>
      </c>
      <c r="O156" s="157">
        <v>5</v>
      </c>
      <c r="P156" s="158">
        <v>0</v>
      </c>
      <c r="Q156" s="196">
        <v>2</v>
      </c>
      <c r="R156" s="154">
        <v>4</v>
      </c>
      <c r="S156" s="152" t="s">
        <v>280</v>
      </c>
      <c r="T156" s="167" t="s">
        <v>490</v>
      </c>
    </row>
    <row r="157" spans="1:20" s="167" customFormat="1" x14ac:dyDescent="0.3">
      <c r="A157" s="166">
        <v>44423</v>
      </c>
      <c r="B157" s="175" t="s">
        <v>493</v>
      </c>
      <c r="C157" s="167" t="s">
        <v>293</v>
      </c>
      <c r="D157" s="167" t="s">
        <v>294</v>
      </c>
      <c r="E157" s="167" t="s">
        <v>387</v>
      </c>
      <c r="F157" s="167" t="s">
        <v>278</v>
      </c>
      <c r="G157" s="168">
        <v>0</v>
      </c>
      <c r="H157" s="167" t="s">
        <v>365</v>
      </c>
      <c r="I157" s="167" t="s">
        <v>304</v>
      </c>
      <c r="J157" s="170">
        <v>7.1</v>
      </c>
      <c r="K157" s="170">
        <v>3.3</v>
      </c>
      <c r="L157" s="167" t="s">
        <v>242</v>
      </c>
      <c r="M157" s="171">
        <v>0</v>
      </c>
      <c r="N157" s="172">
        <v>0</v>
      </c>
      <c r="O157" s="157">
        <v>0</v>
      </c>
      <c r="P157" s="158">
        <v>0</v>
      </c>
      <c r="Q157" s="196">
        <v>50</v>
      </c>
      <c r="R157" s="154">
        <v>14</v>
      </c>
      <c r="S157" s="152" t="s">
        <v>280</v>
      </c>
    </row>
    <row r="158" spans="1:20" s="167" customFormat="1" ht="57.6" x14ac:dyDescent="0.3">
      <c r="A158" s="166">
        <v>44423</v>
      </c>
      <c r="B158" s="175" t="s">
        <v>496</v>
      </c>
      <c r="C158" s="167" t="s">
        <v>293</v>
      </c>
      <c r="D158" s="167" t="s">
        <v>294</v>
      </c>
      <c r="E158" s="167" t="s">
        <v>494</v>
      </c>
      <c r="F158" s="167" t="s">
        <v>471</v>
      </c>
      <c r="G158" s="168">
        <v>32</v>
      </c>
      <c r="H158" s="167" t="s">
        <v>388</v>
      </c>
      <c r="I158" s="167" t="s">
        <v>243</v>
      </c>
      <c r="J158" s="170">
        <v>5.8</v>
      </c>
      <c r="K158" s="170">
        <v>1.8</v>
      </c>
      <c r="L158" s="167" t="s">
        <v>240</v>
      </c>
      <c r="M158" s="171">
        <v>0</v>
      </c>
      <c r="N158" s="172">
        <v>0</v>
      </c>
      <c r="O158" s="157">
        <v>0</v>
      </c>
      <c r="P158" s="158">
        <v>0</v>
      </c>
      <c r="Q158" s="423">
        <v>20</v>
      </c>
      <c r="R158" s="424">
        <v>7.8</v>
      </c>
      <c r="S158" s="152" t="s">
        <v>280</v>
      </c>
      <c r="T158" s="167" t="s">
        <v>495</v>
      </c>
    </row>
    <row r="159" spans="1:20" s="167" customFormat="1" ht="28.8" x14ac:dyDescent="0.3">
      <c r="A159" s="166">
        <v>44424</v>
      </c>
      <c r="B159" s="175" t="s">
        <v>497</v>
      </c>
      <c r="C159" s="167" t="s">
        <v>293</v>
      </c>
      <c r="D159" s="167" t="s">
        <v>381</v>
      </c>
      <c r="E159" s="167" t="s">
        <v>335</v>
      </c>
      <c r="F159" s="167" t="s">
        <v>298</v>
      </c>
      <c r="G159" s="168">
        <v>41</v>
      </c>
      <c r="H159" s="167" t="s">
        <v>382</v>
      </c>
      <c r="I159" s="167" t="s">
        <v>325</v>
      </c>
      <c r="J159" s="170">
        <v>3.6</v>
      </c>
      <c r="K159" s="170">
        <v>1.3</v>
      </c>
      <c r="L159" s="167" t="s">
        <v>237</v>
      </c>
      <c r="M159" s="171">
        <v>4.8</v>
      </c>
      <c r="N159" s="172">
        <v>2.2000000000000002</v>
      </c>
      <c r="O159" s="157">
        <v>0</v>
      </c>
      <c r="P159" s="158">
        <v>0</v>
      </c>
      <c r="Q159" s="423">
        <v>10</v>
      </c>
      <c r="R159" s="424">
        <v>3</v>
      </c>
      <c r="S159" s="152" t="s">
        <v>280</v>
      </c>
      <c r="T159" s="167" t="s">
        <v>498</v>
      </c>
    </row>
    <row r="160" spans="1:20" s="167" customFormat="1" ht="86.4" x14ac:dyDescent="0.3">
      <c r="A160" s="166">
        <v>44425</v>
      </c>
      <c r="B160" s="175" t="s">
        <v>500</v>
      </c>
      <c r="C160" s="167" t="s">
        <v>276</v>
      </c>
      <c r="D160" s="167" t="s">
        <v>277</v>
      </c>
      <c r="E160" s="167" t="s">
        <v>335</v>
      </c>
      <c r="F160" s="167" t="s">
        <v>326</v>
      </c>
      <c r="G160" s="168">
        <v>54</v>
      </c>
      <c r="H160" s="167" t="s">
        <v>365</v>
      </c>
      <c r="I160" s="167" t="s">
        <v>325</v>
      </c>
      <c r="J160" s="170">
        <v>3.4</v>
      </c>
      <c r="K160" s="170">
        <v>1.7</v>
      </c>
      <c r="L160" s="167" t="s">
        <v>240</v>
      </c>
      <c r="M160" s="171">
        <v>18</v>
      </c>
      <c r="N160" s="172">
        <v>10.1</v>
      </c>
      <c r="O160" s="157">
        <v>0</v>
      </c>
      <c r="P160" s="158">
        <v>0</v>
      </c>
      <c r="Q160" s="196">
        <v>300</v>
      </c>
      <c r="R160" s="154">
        <v>0.4</v>
      </c>
      <c r="S160" s="152" t="s">
        <v>280</v>
      </c>
      <c r="T160" s="167" t="s">
        <v>501</v>
      </c>
    </row>
    <row r="161" spans="1:20" s="167" customFormat="1" ht="72" x14ac:dyDescent="0.3">
      <c r="A161" s="166">
        <v>44432</v>
      </c>
      <c r="B161" s="175" t="s">
        <v>504</v>
      </c>
      <c r="C161" s="167" t="s">
        <v>503</v>
      </c>
      <c r="D161" s="167" t="s">
        <v>277</v>
      </c>
      <c r="E161" s="167" t="s">
        <v>380</v>
      </c>
      <c r="F161" s="167" t="s">
        <v>278</v>
      </c>
      <c r="G161" s="168">
        <v>34</v>
      </c>
      <c r="H161" s="167" t="s">
        <v>279</v>
      </c>
      <c r="I161" s="167" t="s">
        <v>241</v>
      </c>
      <c r="J161" s="170">
        <v>4.2</v>
      </c>
      <c r="K161" s="170">
        <v>1.5</v>
      </c>
      <c r="L161" s="167" t="s">
        <v>235</v>
      </c>
      <c r="M161" s="171">
        <v>4.8</v>
      </c>
      <c r="N161" s="172">
        <v>0.7</v>
      </c>
      <c r="O161" s="157">
        <v>0</v>
      </c>
      <c r="P161" s="158">
        <v>0</v>
      </c>
      <c r="Q161" s="196">
        <v>31</v>
      </c>
      <c r="R161" s="154">
        <v>6.6</v>
      </c>
      <c r="S161" s="152" t="s">
        <v>280</v>
      </c>
      <c r="T161" s="167" t="s">
        <v>505</v>
      </c>
    </row>
    <row r="162" spans="1:20" s="167" customFormat="1" ht="28.8" x14ac:dyDescent="0.3">
      <c r="A162" s="166">
        <v>44435</v>
      </c>
      <c r="B162" s="175" t="s">
        <v>508</v>
      </c>
      <c r="C162" s="167" t="s">
        <v>311</v>
      </c>
      <c r="D162" s="167" t="s">
        <v>313</v>
      </c>
      <c r="E162" s="167" t="s">
        <v>335</v>
      </c>
      <c r="F162" s="167" t="s">
        <v>278</v>
      </c>
      <c r="G162" s="168">
        <v>54</v>
      </c>
      <c r="H162" s="167" t="s">
        <v>365</v>
      </c>
      <c r="I162" s="167" t="s">
        <v>325</v>
      </c>
      <c r="J162" s="170">
        <v>6.5</v>
      </c>
      <c r="K162" s="170">
        <v>1.1000000000000001</v>
      </c>
      <c r="L162" s="167" t="s">
        <v>234</v>
      </c>
      <c r="M162" s="171">
        <v>22.8</v>
      </c>
      <c r="N162" s="172">
        <v>3</v>
      </c>
      <c r="O162" s="157">
        <v>0</v>
      </c>
      <c r="P162" s="158">
        <v>0</v>
      </c>
      <c r="Q162" s="196">
        <v>95</v>
      </c>
      <c r="R162" s="154">
        <v>0.4</v>
      </c>
      <c r="S162" s="152" t="s">
        <v>280</v>
      </c>
    </row>
    <row r="163" spans="1:20" s="167" customFormat="1" x14ac:dyDescent="0.3">
      <c r="A163" s="166"/>
      <c r="B163" s="175"/>
      <c r="G163" s="168"/>
      <c r="J163" s="170"/>
      <c r="K163" s="170"/>
      <c r="M163" s="171"/>
      <c r="N163" s="172"/>
      <c r="O163" s="157"/>
      <c r="P163" s="158"/>
      <c r="Q163" s="196"/>
      <c r="R163" s="154"/>
      <c r="S163" s="152"/>
    </row>
    <row r="164" spans="1:20" s="167" customFormat="1" x14ac:dyDescent="0.3">
      <c r="A164" s="166"/>
      <c r="G164" s="168"/>
      <c r="J164" s="170"/>
      <c r="K164" s="170"/>
      <c r="M164" s="171"/>
      <c r="N164" s="172"/>
      <c r="O164" s="157"/>
      <c r="P164" s="158"/>
      <c r="Q164" s="196"/>
      <c r="R164" s="154"/>
      <c r="S164" s="152"/>
    </row>
    <row r="165" spans="1:20" s="167" customFormat="1" x14ac:dyDescent="0.3">
      <c r="A165" s="166"/>
      <c r="C165" s="65" t="s">
        <v>139</v>
      </c>
      <c r="D165" s="65"/>
      <c r="E165" s="152"/>
      <c r="F165" s="152"/>
      <c r="G165" s="152">
        <f>COUNTIF(S149:S164,"*áno*")</f>
        <v>14</v>
      </c>
      <c r="J165" s="170"/>
      <c r="K165" s="170"/>
      <c r="M165" s="171"/>
      <c r="N165" s="172"/>
      <c r="P165" s="173"/>
      <c r="Q165" s="199"/>
      <c r="R165" s="169"/>
    </row>
    <row r="166" spans="1:20" s="167" customFormat="1" x14ac:dyDescent="0.3">
      <c r="A166" s="166"/>
      <c r="C166" s="65" t="s">
        <v>140</v>
      </c>
      <c r="D166" s="65"/>
      <c r="E166" s="152"/>
      <c r="F166" s="152"/>
      <c r="G166" s="152">
        <f>COUNTIF(E149:E164,"*w*")</f>
        <v>12</v>
      </c>
      <c r="J166" s="170"/>
      <c r="K166" s="170"/>
      <c r="M166" s="171"/>
      <c r="N166" s="172"/>
      <c r="O166" s="172"/>
      <c r="P166" s="173"/>
      <c r="Q166" s="199"/>
      <c r="R166" s="169"/>
    </row>
    <row r="167" spans="1:20" s="167" customFormat="1" x14ac:dyDescent="0.3">
      <c r="A167" s="166"/>
      <c r="C167" s="65" t="s">
        <v>141</v>
      </c>
      <c r="D167" s="65"/>
      <c r="E167" s="152"/>
      <c r="F167" s="152"/>
      <c r="G167" s="152">
        <f>COUNTIF(E149:E164,"*P*")</f>
        <v>7</v>
      </c>
      <c r="J167" s="170"/>
      <c r="K167" s="170"/>
      <c r="M167" s="171"/>
      <c r="N167" s="172"/>
      <c r="O167" s="172"/>
      <c r="P167" s="173"/>
      <c r="Q167" s="199"/>
      <c r="R167" s="169"/>
    </row>
    <row r="168" spans="1:20" s="167" customFormat="1" x14ac:dyDescent="0.3">
      <c r="A168" s="166"/>
      <c r="C168" s="65" t="s">
        <v>142</v>
      </c>
      <c r="D168" s="65"/>
      <c r="E168" s="152"/>
      <c r="F168" s="152"/>
      <c r="G168" s="152">
        <f>COUNTIF(E149:E164,"*L*")</f>
        <v>2</v>
      </c>
      <c r="J168" s="170"/>
      <c r="K168" s="170"/>
      <c r="M168" s="171"/>
      <c r="N168" s="172"/>
      <c r="O168" s="172"/>
      <c r="P168" s="173"/>
      <c r="Q168" s="199"/>
      <c r="R168" s="169"/>
    </row>
    <row r="169" spans="1:20" s="167" customFormat="1" x14ac:dyDescent="0.3">
      <c r="A169" s="166"/>
      <c r="C169" s="65" t="s">
        <v>143</v>
      </c>
      <c r="D169" s="65"/>
      <c r="E169" s="152"/>
      <c r="F169" s="152"/>
      <c r="G169" s="152">
        <f>COUNTIF(E149:E164,"*V*")</f>
        <v>5</v>
      </c>
      <c r="J169" s="170"/>
      <c r="K169" s="170"/>
      <c r="M169" s="171"/>
      <c r="N169" s="172"/>
      <c r="O169" s="172"/>
      <c r="P169" s="173"/>
      <c r="Q169" s="199"/>
      <c r="R169" s="169"/>
    </row>
    <row r="170" spans="1:20" s="167" customFormat="1" x14ac:dyDescent="0.3">
      <c r="A170" s="166"/>
      <c r="C170" s="65"/>
      <c r="D170" s="65"/>
      <c r="E170" s="152"/>
      <c r="F170" s="152"/>
      <c r="G170" s="152"/>
      <c r="J170" s="170"/>
      <c r="K170" s="170"/>
      <c r="M170" s="171"/>
      <c r="N170" s="172"/>
      <c r="O170" s="172"/>
      <c r="P170" s="173"/>
      <c r="Q170" s="199"/>
      <c r="R170" s="169"/>
    </row>
    <row r="171" spans="1:20" s="167" customFormat="1" x14ac:dyDescent="0.3">
      <c r="A171" s="166"/>
      <c r="C171" s="65" t="s">
        <v>144</v>
      </c>
      <c r="D171" s="65"/>
      <c r="E171" s="152"/>
      <c r="F171" s="152"/>
      <c r="G171" s="152">
        <f>COUNTIF(E149:E164,"*D*")</f>
        <v>13</v>
      </c>
      <c r="J171" s="170"/>
      <c r="K171" s="170"/>
      <c r="M171" s="171"/>
      <c r="N171" s="172"/>
      <c r="O171" s="172"/>
      <c r="P171" s="173"/>
      <c r="Q171" s="199"/>
      <c r="R171" s="169"/>
    </row>
    <row r="172" spans="1:20" s="167" customFormat="1" x14ac:dyDescent="0.3">
      <c r="A172" s="166"/>
      <c r="C172" s="65" t="s">
        <v>145</v>
      </c>
      <c r="D172" s="65"/>
      <c r="E172" s="152"/>
      <c r="F172" s="152"/>
      <c r="G172" s="152">
        <f>COUNTIF(E149:E164,"*S*")</f>
        <v>0</v>
      </c>
      <c r="J172" s="170"/>
      <c r="K172" s="170"/>
      <c r="M172" s="171"/>
      <c r="N172" s="172"/>
      <c r="O172" s="172"/>
      <c r="P172" s="173"/>
      <c r="Q172" s="199"/>
      <c r="R172" s="169"/>
    </row>
    <row r="173" spans="1:20" s="167" customFormat="1" x14ac:dyDescent="0.3">
      <c r="A173" s="166"/>
      <c r="C173" s="65" t="s">
        <v>146</v>
      </c>
      <c r="D173" s="65"/>
      <c r="E173" s="152"/>
      <c r="F173" s="152"/>
      <c r="G173" s="152">
        <f>COUNTIF(E149:E164,"*K*")</f>
        <v>2</v>
      </c>
      <c r="J173" s="170"/>
      <c r="K173" s="170"/>
      <c r="M173" s="171"/>
      <c r="N173" s="172"/>
      <c r="O173" s="172"/>
      <c r="P173" s="173"/>
      <c r="Q173" s="199"/>
      <c r="R173" s="169"/>
    </row>
    <row r="174" spans="1:20" s="167" customFormat="1" x14ac:dyDescent="0.3">
      <c r="A174" s="166"/>
      <c r="C174" s="65" t="s">
        <v>147</v>
      </c>
      <c r="D174" s="65"/>
      <c r="E174" s="152"/>
      <c r="F174" s="152"/>
      <c r="G174" s="152">
        <f>COUNTIF(E149:E164,"*Z*")</f>
        <v>12</v>
      </c>
      <c r="J174" s="170"/>
      <c r="K174" s="170"/>
      <c r="M174" s="171"/>
      <c r="N174" s="172"/>
      <c r="O174" s="172"/>
      <c r="P174" s="173"/>
      <c r="Q174" s="199"/>
      <c r="R174" s="169"/>
    </row>
    <row r="175" spans="1:20" s="167" customFormat="1" x14ac:dyDescent="0.3">
      <c r="A175" s="166"/>
      <c r="C175" s="178"/>
      <c r="D175" s="178"/>
      <c r="J175" s="170"/>
      <c r="K175" s="170"/>
      <c r="M175" s="171"/>
      <c r="N175" s="172"/>
      <c r="O175" s="172"/>
      <c r="P175" s="173"/>
      <c r="Q175" s="199"/>
      <c r="R175" s="169"/>
    </row>
    <row r="176" spans="1:20" s="167" customFormat="1" x14ac:dyDescent="0.3">
      <c r="A176" s="174" t="s">
        <v>114</v>
      </c>
      <c r="G176" s="168"/>
      <c r="J176" s="170"/>
      <c r="K176" s="170"/>
      <c r="M176" s="171"/>
      <c r="N176" s="172"/>
      <c r="O176" s="172"/>
      <c r="P176" s="173"/>
      <c r="Q176" s="199"/>
      <c r="R176" s="169"/>
    </row>
    <row r="177" spans="1:20" s="167" customFormat="1" ht="100.8" x14ac:dyDescent="0.3">
      <c r="A177" s="166">
        <v>44452</v>
      </c>
      <c r="B177" s="175" t="s">
        <v>516</v>
      </c>
      <c r="C177" s="167" t="s">
        <v>514</v>
      </c>
      <c r="D177" s="167" t="s">
        <v>517</v>
      </c>
      <c r="E177" s="167" t="s">
        <v>380</v>
      </c>
      <c r="F177" s="167" t="s">
        <v>278</v>
      </c>
      <c r="G177" s="168">
        <v>35</v>
      </c>
      <c r="H177" s="167" t="s">
        <v>279</v>
      </c>
      <c r="I177" s="167" t="s">
        <v>515</v>
      </c>
      <c r="J177" s="170">
        <v>6.1</v>
      </c>
      <c r="K177" s="170">
        <v>1.8</v>
      </c>
      <c r="L177" s="167" t="s">
        <v>236</v>
      </c>
      <c r="M177" s="171">
        <v>6</v>
      </c>
      <c r="N177" s="172">
        <v>1.5</v>
      </c>
      <c r="O177" s="172">
        <v>0</v>
      </c>
      <c r="P177" s="173">
        <v>0</v>
      </c>
      <c r="Q177" s="199">
        <v>37</v>
      </c>
      <c r="R177" s="169">
        <v>6.2</v>
      </c>
      <c r="S177" s="167" t="s">
        <v>280</v>
      </c>
      <c r="T177" s="167" t="s">
        <v>518</v>
      </c>
    </row>
    <row r="178" spans="1:20" s="167" customFormat="1" x14ac:dyDescent="0.3">
      <c r="A178" s="166"/>
      <c r="B178" s="175"/>
      <c r="G178" s="168"/>
      <c r="J178" s="170"/>
      <c r="K178" s="170"/>
      <c r="M178" s="171"/>
      <c r="N178" s="172"/>
      <c r="O178" s="172"/>
      <c r="P178" s="173"/>
      <c r="Q178" s="199"/>
      <c r="R178" s="169"/>
    </row>
    <row r="179" spans="1:20" s="167" customFormat="1" x14ac:dyDescent="0.3">
      <c r="A179" s="166"/>
      <c r="G179" s="168"/>
      <c r="J179" s="170"/>
      <c r="K179" s="170"/>
      <c r="M179" s="171"/>
      <c r="N179" s="172"/>
      <c r="O179" s="172"/>
      <c r="P179" s="173"/>
      <c r="Q179" s="199"/>
      <c r="R179" s="169"/>
    </row>
    <row r="180" spans="1:20" s="167" customFormat="1" x14ac:dyDescent="0.3">
      <c r="A180" s="166"/>
      <c r="G180" s="168"/>
      <c r="J180" s="170"/>
      <c r="K180" s="170"/>
      <c r="M180" s="171"/>
      <c r="N180" s="172"/>
      <c r="O180" s="172"/>
      <c r="P180" s="173"/>
      <c r="Q180" s="199"/>
      <c r="R180" s="169"/>
    </row>
    <row r="181" spans="1:20" s="167" customFormat="1" x14ac:dyDescent="0.3">
      <c r="A181" s="166"/>
      <c r="G181" s="168"/>
      <c r="J181" s="170"/>
      <c r="K181" s="170"/>
      <c r="M181" s="171"/>
      <c r="N181" s="172"/>
      <c r="O181" s="172"/>
      <c r="P181" s="173"/>
      <c r="Q181" s="199"/>
      <c r="R181" s="169"/>
    </row>
    <row r="182" spans="1:20" s="167" customFormat="1" x14ac:dyDescent="0.3">
      <c r="A182" s="166"/>
      <c r="B182" s="175"/>
      <c r="G182" s="168"/>
      <c r="J182" s="170"/>
      <c r="K182" s="170"/>
      <c r="M182" s="171"/>
      <c r="N182" s="172"/>
      <c r="O182" s="172"/>
      <c r="P182" s="173"/>
      <c r="Q182" s="199"/>
      <c r="R182" s="169"/>
    </row>
    <row r="183" spans="1:20" s="167" customFormat="1" x14ac:dyDescent="0.3">
      <c r="A183" s="166"/>
      <c r="B183" s="175"/>
      <c r="C183" s="65" t="s">
        <v>139</v>
      </c>
      <c r="D183" s="65"/>
      <c r="E183" s="152"/>
      <c r="F183" s="152"/>
      <c r="G183" s="152">
        <f>COUNTIF(S177:S182,"*áno*")</f>
        <v>1</v>
      </c>
      <c r="J183" s="170"/>
      <c r="K183" s="170"/>
      <c r="M183" s="171"/>
      <c r="N183" s="172"/>
      <c r="O183" s="172"/>
      <c r="P183" s="173"/>
      <c r="Q183" s="199"/>
      <c r="R183" s="169"/>
    </row>
    <row r="184" spans="1:20" s="167" customFormat="1" x14ac:dyDescent="0.3">
      <c r="A184" s="166"/>
      <c r="B184" s="175"/>
      <c r="C184" s="65" t="s">
        <v>140</v>
      </c>
      <c r="D184" s="65"/>
      <c r="E184" s="152"/>
      <c r="F184" s="152"/>
      <c r="G184" s="152">
        <f>COUNTIF(E177:E182,"*w*")</f>
        <v>1</v>
      </c>
      <c r="J184" s="170"/>
      <c r="K184" s="170"/>
      <c r="M184" s="171"/>
      <c r="N184" s="172"/>
      <c r="O184" s="172"/>
      <c r="P184" s="173"/>
      <c r="Q184" s="199"/>
      <c r="R184" s="169"/>
    </row>
    <row r="185" spans="1:20" s="167" customFormat="1" x14ac:dyDescent="0.3">
      <c r="A185" s="166"/>
      <c r="B185" s="175"/>
      <c r="C185" s="65" t="s">
        <v>141</v>
      </c>
      <c r="D185" s="65"/>
      <c r="E185" s="152"/>
      <c r="F185" s="152"/>
      <c r="G185" s="152">
        <f>COUNTIF(E177:E182,"*P*")</f>
        <v>0</v>
      </c>
      <c r="J185" s="170"/>
      <c r="K185" s="170"/>
      <c r="M185" s="171"/>
      <c r="N185" s="172"/>
      <c r="O185" s="172"/>
      <c r="P185" s="173"/>
      <c r="Q185" s="199"/>
      <c r="R185" s="169"/>
    </row>
    <row r="186" spans="1:20" s="167" customFormat="1" x14ac:dyDescent="0.3">
      <c r="A186" s="166"/>
      <c r="B186" s="175"/>
      <c r="C186" s="65" t="s">
        <v>142</v>
      </c>
      <c r="D186" s="65"/>
      <c r="E186" s="152"/>
      <c r="F186" s="152"/>
      <c r="G186" s="152">
        <f>COUNTIF(E177:E182,"*L*")</f>
        <v>0</v>
      </c>
      <c r="J186" s="170"/>
      <c r="K186" s="170"/>
      <c r="M186" s="171"/>
      <c r="N186" s="172"/>
      <c r="O186" s="172"/>
      <c r="P186" s="173"/>
      <c r="Q186" s="199"/>
      <c r="R186" s="169"/>
    </row>
    <row r="187" spans="1:20" s="167" customFormat="1" x14ac:dyDescent="0.3">
      <c r="A187" s="166"/>
      <c r="C187" s="65" t="s">
        <v>143</v>
      </c>
      <c r="D187" s="65"/>
      <c r="E187" s="152"/>
      <c r="F187" s="152"/>
      <c r="G187" s="152">
        <f>COUNTIF(E177:E182,"*V*")</f>
        <v>1</v>
      </c>
      <c r="J187" s="170"/>
      <c r="K187" s="170"/>
      <c r="M187" s="171"/>
      <c r="N187" s="172"/>
      <c r="O187" s="172"/>
      <c r="P187" s="173"/>
      <c r="Q187" s="199"/>
      <c r="R187" s="169"/>
    </row>
    <row r="188" spans="1:20" s="167" customFormat="1" x14ac:dyDescent="0.3">
      <c r="A188" s="166"/>
      <c r="C188" s="65"/>
      <c r="D188" s="65"/>
      <c r="E188" s="152"/>
      <c r="F188" s="152"/>
      <c r="G188" s="152"/>
      <c r="J188" s="170"/>
      <c r="K188" s="170"/>
      <c r="M188" s="171"/>
      <c r="N188" s="172"/>
      <c r="O188" s="172"/>
      <c r="P188" s="173"/>
      <c r="Q188" s="199"/>
      <c r="R188" s="169"/>
    </row>
    <row r="189" spans="1:20" s="167" customFormat="1" x14ac:dyDescent="0.3">
      <c r="A189" s="166"/>
      <c r="C189" s="65" t="s">
        <v>144</v>
      </c>
      <c r="D189" s="65"/>
      <c r="E189" s="152"/>
      <c r="F189" s="152"/>
      <c r="G189" s="152">
        <f>COUNTIF(E177:E182,"*D*")</f>
        <v>1</v>
      </c>
      <c r="J189" s="170"/>
      <c r="K189" s="170"/>
      <c r="M189" s="171"/>
      <c r="N189" s="172"/>
      <c r="O189" s="172"/>
      <c r="P189" s="173"/>
      <c r="Q189" s="199"/>
      <c r="R189" s="169"/>
    </row>
    <row r="190" spans="1:20" s="167" customFormat="1" x14ac:dyDescent="0.3">
      <c r="A190" s="166"/>
      <c r="C190" s="65" t="s">
        <v>145</v>
      </c>
      <c r="D190" s="65"/>
      <c r="E190" s="152"/>
      <c r="F190" s="152"/>
      <c r="G190" s="152">
        <f>COUNTIF(E177:E182,"*S*")</f>
        <v>0</v>
      </c>
      <c r="J190" s="170"/>
      <c r="K190" s="170"/>
      <c r="M190" s="171"/>
      <c r="N190" s="172"/>
      <c r="O190" s="172"/>
      <c r="P190" s="173"/>
      <c r="Q190" s="199"/>
      <c r="R190" s="169"/>
    </row>
    <row r="191" spans="1:20" s="167" customFormat="1" x14ac:dyDescent="0.3">
      <c r="A191" s="166"/>
      <c r="C191" s="65" t="s">
        <v>146</v>
      </c>
      <c r="D191" s="65"/>
      <c r="E191" s="152"/>
      <c r="F191" s="152"/>
      <c r="G191" s="152">
        <f>COUNTIF(E177:E182,"*K*")</f>
        <v>0</v>
      </c>
      <c r="J191" s="170"/>
      <c r="K191" s="170"/>
      <c r="M191" s="171"/>
      <c r="N191" s="172"/>
      <c r="O191" s="172"/>
      <c r="P191" s="173"/>
      <c r="Q191" s="199"/>
      <c r="R191" s="169"/>
    </row>
    <row r="192" spans="1:20" s="167" customFormat="1" x14ac:dyDescent="0.3">
      <c r="A192" s="166"/>
      <c r="C192" s="65" t="s">
        <v>147</v>
      </c>
      <c r="D192" s="65"/>
      <c r="E192" s="152"/>
      <c r="F192" s="152"/>
      <c r="G192" s="152">
        <f>COUNTIF(E177:E182,"*Z*")</f>
        <v>1</v>
      </c>
      <c r="J192" s="170"/>
      <c r="K192" s="170"/>
      <c r="M192" s="171"/>
      <c r="N192" s="172"/>
      <c r="O192" s="172"/>
      <c r="P192" s="173"/>
      <c r="Q192" s="199"/>
      <c r="R192" s="169"/>
    </row>
    <row r="193" spans="1:18" s="167" customFormat="1" x14ac:dyDescent="0.3">
      <c r="A193" s="166"/>
      <c r="C193" s="178"/>
      <c r="D193" s="178"/>
      <c r="J193" s="170"/>
      <c r="K193" s="170"/>
      <c r="M193" s="171"/>
      <c r="N193" s="172"/>
      <c r="O193" s="172"/>
      <c r="P193" s="173"/>
      <c r="Q193" s="199"/>
      <c r="R193" s="169"/>
    </row>
    <row r="194" spans="1:18" s="167" customFormat="1" x14ac:dyDescent="0.3">
      <c r="A194" s="174" t="s">
        <v>180</v>
      </c>
      <c r="G194" s="168"/>
      <c r="J194" s="170"/>
      <c r="K194" s="170"/>
      <c r="M194" s="171"/>
      <c r="N194" s="172"/>
      <c r="O194" s="172"/>
      <c r="P194" s="173"/>
      <c r="Q194" s="199"/>
      <c r="R194" s="169"/>
    </row>
    <row r="195" spans="1:18" s="167" customFormat="1" x14ac:dyDescent="0.3">
      <c r="A195" s="166"/>
      <c r="C195" s="425"/>
      <c r="D195" s="426"/>
      <c r="G195" s="168"/>
      <c r="J195" s="170"/>
      <c r="K195" s="170"/>
      <c r="M195" s="171"/>
      <c r="N195" s="172"/>
      <c r="O195" s="172"/>
      <c r="P195" s="173"/>
      <c r="Q195" s="199"/>
      <c r="R195" s="169"/>
    </row>
    <row r="196" spans="1:18" s="167" customFormat="1" x14ac:dyDescent="0.3">
      <c r="A196" s="166"/>
      <c r="C196" s="425"/>
      <c r="D196" s="426"/>
      <c r="G196" s="168"/>
      <c r="J196" s="170"/>
      <c r="K196" s="170"/>
      <c r="M196" s="171"/>
      <c r="N196" s="172"/>
      <c r="O196" s="172"/>
      <c r="P196" s="173"/>
      <c r="Q196" s="199"/>
      <c r="R196" s="169"/>
    </row>
    <row r="197" spans="1:18" s="167" customFormat="1" x14ac:dyDescent="0.3">
      <c r="A197" s="166"/>
      <c r="C197" s="178"/>
      <c r="D197" s="178"/>
      <c r="G197" s="168"/>
      <c r="J197" s="170"/>
      <c r="K197" s="170"/>
      <c r="M197" s="171"/>
      <c r="N197" s="172"/>
      <c r="O197" s="172"/>
      <c r="P197" s="173"/>
      <c r="Q197" s="199"/>
      <c r="R197" s="169"/>
    </row>
    <row r="198" spans="1:18" s="167" customFormat="1" x14ac:dyDescent="0.3">
      <c r="A198" s="166"/>
      <c r="C198" s="65" t="s">
        <v>139</v>
      </c>
      <c r="D198" s="65"/>
      <c r="E198" s="152"/>
      <c r="F198" s="152"/>
      <c r="G198" s="152">
        <f>COUNTIF(S195:S197,"*áno*")</f>
        <v>0</v>
      </c>
      <c r="J198" s="170"/>
      <c r="K198" s="170"/>
      <c r="M198" s="171"/>
      <c r="N198" s="172"/>
      <c r="O198" s="172"/>
      <c r="P198" s="173"/>
      <c r="Q198" s="199"/>
      <c r="R198" s="169"/>
    </row>
    <row r="199" spans="1:18" s="167" customFormat="1" x14ac:dyDescent="0.3">
      <c r="A199" s="166"/>
      <c r="C199" s="65" t="s">
        <v>140</v>
      </c>
      <c r="D199" s="65"/>
      <c r="E199" s="152"/>
      <c r="F199" s="152"/>
      <c r="G199" s="152">
        <f>COUNTIF(E195:E197,"*w*")</f>
        <v>0</v>
      </c>
      <c r="J199" s="170"/>
      <c r="K199" s="170"/>
      <c r="M199" s="171"/>
      <c r="N199" s="172"/>
      <c r="O199" s="172"/>
      <c r="P199" s="173"/>
      <c r="Q199" s="199"/>
      <c r="R199" s="169"/>
    </row>
    <row r="200" spans="1:18" s="167" customFormat="1" x14ac:dyDescent="0.3">
      <c r="A200" s="166"/>
      <c r="C200" s="65" t="s">
        <v>141</v>
      </c>
      <c r="D200" s="65"/>
      <c r="E200" s="152"/>
      <c r="F200" s="152"/>
      <c r="G200" s="152">
        <f>COUNTIF(E195:E197,"*P*")</f>
        <v>0</v>
      </c>
      <c r="J200" s="170"/>
      <c r="K200" s="170"/>
      <c r="M200" s="171"/>
      <c r="N200" s="172"/>
      <c r="O200" s="172"/>
      <c r="P200" s="173"/>
      <c r="Q200" s="199"/>
      <c r="R200" s="169"/>
    </row>
    <row r="201" spans="1:18" s="167" customFormat="1" x14ac:dyDescent="0.3">
      <c r="A201" s="166"/>
      <c r="C201" s="65" t="s">
        <v>142</v>
      </c>
      <c r="D201" s="65"/>
      <c r="E201" s="152"/>
      <c r="F201" s="152"/>
      <c r="G201" s="152">
        <f>COUNTIF(E195:E197,"*L*")</f>
        <v>0</v>
      </c>
      <c r="J201" s="170"/>
      <c r="K201" s="170"/>
      <c r="M201" s="171"/>
      <c r="N201" s="172"/>
      <c r="O201" s="172"/>
      <c r="P201" s="173"/>
      <c r="Q201" s="199"/>
      <c r="R201" s="169"/>
    </row>
    <row r="202" spans="1:18" s="167" customFormat="1" x14ac:dyDescent="0.3">
      <c r="A202" s="166"/>
      <c r="C202" s="65" t="s">
        <v>143</v>
      </c>
      <c r="D202" s="65"/>
      <c r="E202" s="152"/>
      <c r="F202" s="152"/>
      <c r="G202" s="152">
        <f>COUNTIF(E195:E197,"*V*")</f>
        <v>0</v>
      </c>
      <c r="J202" s="170"/>
      <c r="K202" s="170"/>
      <c r="M202" s="171"/>
      <c r="N202" s="172"/>
      <c r="O202" s="172"/>
      <c r="P202" s="173"/>
      <c r="Q202" s="199"/>
      <c r="R202" s="169"/>
    </row>
    <row r="203" spans="1:18" s="167" customFormat="1" x14ac:dyDescent="0.3">
      <c r="A203" s="166"/>
      <c r="C203" s="65"/>
      <c r="D203" s="65"/>
      <c r="E203" s="152"/>
      <c r="F203" s="152"/>
      <c r="G203" s="152"/>
      <c r="J203" s="170"/>
      <c r="K203" s="170"/>
      <c r="M203" s="171"/>
      <c r="N203" s="172"/>
      <c r="O203" s="172"/>
      <c r="P203" s="173"/>
      <c r="Q203" s="199"/>
      <c r="R203" s="169"/>
    </row>
    <row r="204" spans="1:18" s="167" customFormat="1" x14ac:dyDescent="0.3">
      <c r="A204" s="166"/>
      <c r="C204" s="65" t="s">
        <v>144</v>
      </c>
      <c r="D204" s="65"/>
      <c r="E204" s="152"/>
      <c r="F204" s="152"/>
      <c r="G204" s="152">
        <f>COUNTIF(E195:E197,"*D*")</f>
        <v>0</v>
      </c>
      <c r="J204" s="170"/>
      <c r="K204" s="170"/>
      <c r="M204" s="171"/>
      <c r="N204" s="172"/>
      <c r="O204" s="172"/>
      <c r="P204" s="173"/>
      <c r="Q204" s="199"/>
      <c r="R204" s="169"/>
    </row>
    <row r="205" spans="1:18" s="167" customFormat="1" x14ac:dyDescent="0.3">
      <c r="A205" s="166"/>
      <c r="C205" s="65" t="s">
        <v>145</v>
      </c>
      <c r="D205" s="65"/>
      <c r="E205" s="152"/>
      <c r="F205" s="152"/>
      <c r="G205" s="152">
        <f>COUNTIF(E195:E197,"*S*")</f>
        <v>0</v>
      </c>
      <c r="J205" s="170"/>
      <c r="K205" s="170"/>
      <c r="M205" s="171"/>
      <c r="N205" s="172"/>
      <c r="O205" s="172"/>
      <c r="P205" s="173"/>
      <c r="Q205" s="199"/>
      <c r="R205" s="169"/>
    </row>
    <row r="206" spans="1:18" s="167" customFormat="1" x14ac:dyDescent="0.3">
      <c r="A206" s="166"/>
      <c r="C206" s="65" t="s">
        <v>146</v>
      </c>
      <c r="D206" s="65"/>
      <c r="E206" s="152"/>
      <c r="F206" s="152"/>
      <c r="G206" s="152">
        <f>COUNTIF(E195:E197,"*K*")</f>
        <v>0</v>
      </c>
      <c r="J206" s="170"/>
      <c r="K206" s="170"/>
      <c r="M206" s="171"/>
      <c r="N206" s="172"/>
      <c r="O206" s="172"/>
      <c r="P206" s="173"/>
      <c r="Q206" s="199"/>
      <c r="R206" s="169"/>
    </row>
    <row r="207" spans="1:18" s="167" customFormat="1" x14ac:dyDescent="0.3">
      <c r="A207" s="166"/>
      <c r="C207" s="65" t="s">
        <v>147</v>
      </c>
      <c r="D207" s="65"/>
      <c r="E207" s="152"/>
      <c r="F207" s="152"/>
      <c r="G207" s="152">
        <f>COUNTIF(E195:E197,"*Z*")</f>
        <v>0</v>
      </c>
      <c r="J207" s="170"/>
      <c r="K207" s="170"/>
      <c r="M207" s="171"/>
      <c r="N207" s="172"/>
      <c r="O207" s="172"/>
      <c r="P207" s="173"/>
      <c r="Q207" s="199"/>
      <c r="R207" s="169"/>
    </row>
    <row r="208" spans="1:18" s="167" customFormat="1" x14ac:dyDescent="0.3">
      <c r="A208" s="166"/>
      <c r="C208" s="178"/>
      <c r="D208" s="178"/>
      <c r="J208" s="170"/>
      <c r="K208" s="170"/>
      <c r="M208" s="171"/>
      <c r="N208" s="172"/>
      <c r="O208" s="172"/>
      <c r="P208" s="173"/>
      <c r="Q208" s="199"/>
      <c r="R208" s="169"/>
    </row>
    <row r="209" spans="1:18" s="167" customFormat="1" x14ac:dyDescent="0.3">
      <c r="A209" s="174" t="s">
        <v>181</v>
      </c>
      <c r="G209" s="168"/>
      <c r="J209" s="170"/>
      <c r="K209" s="170"/>
      <c r="M209" s="171"/>
      <c r="N209" s="172"/>
      <c r="O209" s="172"/>
      <c r="P209" s="173"/>
      <c r="Q209" s="199"/>
      <c r="R209" s="169"/>
    </row>
    <row r="210" spans="1:18" s="167" customFormat="1" x14ac:dyDescent="0.3">
      <c r="A210" s="166"/>
      <c r="C210" s="178"/>
      <c r="D210" s="178"/>
      <c r="J210" s="170"/>
      <c r="K210" s="170"/>
      <c r="M210" s="171"/>
      <c r="N210" s="172"/>
      <c r="O210" s="172"/>
      <c r="P210" s="173"/>
      <c r="Q210" s="199"/>
      <c r="R210" s="169"/>
    </row>
    <row r="211" spans="1:18" s="167" customFormat="1" x14ac:dyDescent="0.3">
      <c r="A211" s="166"/>
      <c r="C211" s="178"/>
      <c r="D211" s="178"/>
      <c r="J211" s="170"/>
      <c r="K211" s="170"/>
      <c r="M211" s="171"/>
      <c r="N211" s="172"/>
      <c r="O211" s="172"/>
      <c r="P211" s="173"/>
      <c r="Q211" s="199"/>
      <c r="R211" s="169"/>
    </row>
    <row r="212" spans="1:18" s="167" customFormat="1" x14ac:dyDescent="0.3">
      <c r="A212" s="166"/>
      <c r="C212" s="178"/>
      <c r="D212" s="178"/>
      <c r="J212" s="170"/>
      <c r="K212" s="170"/>
      <c r="M212" s="171"/>
      <c r="N212" s="172"/>
      <c r="O212" s="172"/>
      <c r="P212" s="173"/>
      <c r="Q212" s="199"/>
      <c r="R212" s="169"/>
    </row>
    <row r="213" spans="1:18" s="167" customFormat="1" x14ac:dyDescent="0.3">
      <c r="A213" s="166"/>
      <c r="C213" s="65" t="s">
        <v>139</v>
      </c>
      <c r="D213" s="65"/>
      <c r="E213" s="152"/>
      <c r="F213" s="152"/>
      <c r="G213" s="152">
        <f>COUNTIF(S210:S212,"*áno*")</f>
        <v>0</v>
      </c>
      <c r="J213" s="170"/>
      <c r="K213" s="170"/>
      <c r="M213" s="171"/>
      <c r="N213" s="172"/>
      <c r="O213" s="172"/>
      <c r="P213" s="173"/>
      <c r="Q213" s="199"/>
      <c r="R213" s="169"/>
    </row>
    <row r="214" spans="1:18" s="167" customFormat="1" x14ac:dyDescent="0.3">
      <c r="A214" s="166"/>
      <c r="C214" s="65" t="s">
        <v>140</v>
      </c>
      <c r="D214" s="65"/>
      <c r="E214" s="152"/>
      <c r="F214" s="152"/>
      <c r="G214" s="152">
        <f>COUNTIF(E210:E212,"*w*")</f>
        <v>0</v>
      </c>
      <c r="J214" s="170"/>
      <c r="K214" s="170"/>
      <c r="M214" s="171"/>
      <c r="N214" s="172"/>
      <c r="O214" s="172"/>
      <c r="P214" s="173"/>
      <c r="Q214" s="199"/>
      <c r="R214" s="169"/>
    </row>
    <row r="215" spans="1:18" s="167" customFormat="1" x14ac:dyDescent="0.3">
      <c r="A215" s="166"/>
      <c r="C215" s="65" t="s">
        <v>141</v>
      </c>
      <c r="D215" s="65"/>
      <c r="E215" s="152"/>
      <c r="F215" s="152"/>
      <c r="G215" s="152">
        <f>COUNTIF(E210:E212,"*P*")</f>
        <v>0</v>
      </c>
      <c r="J215" s="170"/>
      <c r="K215" s="170"/>
      <c r="M215" s="171"/>
      <c r="N215" s="172"/>
      <c r="O215" s="172"/>
      <c r="P215" s="173"/>
      <c r="Q215" s="199"/>
      <c r="R215" s="169"/>
    </row>
    <row r="216" spans="1:18" s="167" customFormat="1" x14ac:dyDescent="0.3">
      <c r="A216" s="166"/>
      <c r="C216" s="65" t="s">
        <v>142</v>
      </c>
      <c r="D216" s="65"/>
      <c r="E216" s="152"/>
      <c r="F216" s="152"/>
      <c r="G216" s="152">
        <f>COUNTIF(E210:E212,"*L*")</f>
        <v>0</v>
      </c>
      <c r="J216" s="170"/>
      <c r="K216" s="170"/>
      <c r="M216" s="171"/>
      <c r="N216" s="172"/>
      <c r="O216" s="172"/>
      <c r="P216" s="173"/>
      <c r="Q216" s="199"/>
      <c r="R216" s="169"/>
    </row>
    <row r="217" spans="1:18" s="167" customFormat="1" x14ac:dyDescent="0.3">
      <c r="A217" s="166"/>
      <c r="C217" s="65" t="s">
        <v>143</v>
      </c>
      <c r="D217" s="65"/>
      <c r="E217" s="152"/>
      <c r="F217" s="152"/>
      <c r="G217" s="152">
        <f>COUNTIF(E210:E212,"*V*")</f>
        <v>0</v>
      </c>
      <c r="J217" s="170"/>
      <c r="K217" s="170"/>
      <c r="M217" s="171"/>
      <c r="N217" s="172"/>
      <c r="O217" s="172"/>
      <c r="P217" s="173"/>
      <c r="Q217" s="199"/>
      <c r="R217" s="169"/>
    </row>
    <row r="218" spans="1:18" s="167" customFormat="1" x14ac:dyDescent="0.3">
      <c r="A218" s="166"/>
      <c r="C218" s="65"/>
      <c r="D218" s="65"/>
      <c r="E218" s="152"/>
      <c r="F218" s="152"/>
      <c r="G218" s="152"/>
      <c r="J218" s="170"/>
      <c r="K218" s="170"/>
      <c r="M218" s="171"/>
      <c r="N218" s="172"/>
      <c r="O218" s="172"/>
      <c r="P218" s="173"/>
      <c r="Q218" s="199"/>
      <c r="R218" s="169"/>
    </row>
    <row r="219" spans="1:18" s="167" customFormat="1" x14ac:dyDescent="0.3">
      <c r="A219" s="166"/>
      <c r="C219" s="65" t="s">
        <v>144</v>
      </c>
      <c r="D219" s="65"/>
      <c r="E219" s="152"/>
      <c r="F219" s="152"/>
      <c r="G219" s="152">
        <f>COUNTIF(E210:E212,"*D*")</f>
        <v>0</v>
      </c>
      <c r="J219" s="170"/>
      <c r="K219" s="170"/>
      <c r="M219" s="171"/>
      <c r="N219" s="172"/>
      <c r="O219" s="172"/>
      <c r="P219" s="173"/>
      <c r="Q219" s="199"/>
      <c r="R219" s="169"/>
    </row>
    <row r="220" spans="1:18" s="167" customFormat="1" x14ac:dyDescent="0.3">
      <c r="A220" s="166"/>
      <c r="C220" s="65" t="s">
        <v>145</v>
      </c>
      <c r="D220" s="65"/>
      <c r="E220" s="152"/>
      <c r="F220" s="152"/>
      <c r="G220" s="152">
        <f>COUNTIF(E210:E212,"*S*")</f>
        <v>0</v>
      </c>
      <c r="J220" s="170"/>
      <c r="K220" s="170"/>
      <c r="M220" s="171"/>
      <c r="N220" s="172"/>
      <c r="O220" s="172"/>
      <c r="P220" s="173"/>
      <c r="Q220" s="199"/>
      <c r="R220" s="169"/>
    </row>
    <row r="221" spans="1:18" s="167" customFormat="1" x14ac:dyDescent="0.3">
      <c r="A221" s="166"/>
      <c r="C221" s="65" t="s">
        <v>146</v>
      </c>
      <c r="D221" s="65"/>
      <c r="E221" s="152"/>
      <c r="F221" s="152"/>
      <c r="G221" s="152">
        <f>COUNTIF(E210:E212,"*K*")</f>
        <v>0</v>
      </c>
      <c r="J221" s="170"/>
      <c r="K221" s="170"/>
      <c r="M221" s="171"/>
      <c r="N221" s="172"/>
      <c r="O221" s="172"/>
      <c r="P221" s="173"/>
      <c r="Q221" s="199"/>
      <c r="R221" s="169"/>
    </row>
    <row r="222" spans="1:18" s="167" customFormat="1" x14ac:dyDescent="0.3">
      <c r="A222" s="166"/>
      <c r="C222" s="65" t="s">
        <v>147</v>
      </c>
      <c r="D222" s="65"/>
      <c r="E222" s="152"/>
      <c r="F222" s="152"/>
      <c r="G222" s="152">
        <f>COUNTIF(E210:E212,"*Z*")</f>
        <v>0</v>
      </c>
      <c r="J222" s="170"/>
      <c r="K222" s="170"/>
      <c r="M222" s="171"/>
      <c r="N222" s="172"/>
      <c r="O222" s="172"/>
      <c r="P222" s="173"/>
      <c r="Q222" s="199"/>
      <c r="R222" s="169"/>
    </row>
    <row r="223" spans="1:18" s="167" customFormat="1" x14ac:dyDescent="0.3">
      <c r="A223" s="166"/>
      <c r="C223" s="178"/>
      <c r="D223" s="178"/>
      <c r="J223" s="170"/>
      <c r="K223" s="170"/>
      <c r="M223" s="171"/>
      <c r="N223" s="172"/>
      <c r="O223" s="172"/>
      <c r="P223" s="173"/>
      <c r="Q223" s="199"/>
      <c r="R223" s="169"/>
    </row>
    <row r="224" spans="1:18" s="167" customFormat="1" x14ac:dyDescent="0.3">
      <c r="A224" s="174" t="s">
        <v>188</v>
      </c>
      <c r="G224" s="168"/>
      <c r="J224" s="170"/>
      <c r="K224" s="170"/>
      <c r="M224" s="171"/>
      <c r="N224" s="172"/>
      <c r="O224" s="172"/>
      <c r="P224" s="173"/>
      <c r="Q224" s="199"/>
      <c r="R224" s="169"/>
    </row>
    <row r="225" spans="1:18" s="167" customFormat="1" x14ac:dyDescent="0.3">
      <c r="A225" s="166"/>
      <c r="C225" s="178"/>
      <c r="D225" s="178"/>
      <c r="J225" s="170"/>
      <c r="K225" s="170"/>
      <c r="M225" s="171"/>
      <c r="N225" s="172"/>
      <c r="O225" s="172"/>
      <c r="P225" s="173"/>
      <c r="Q225" s="199"/>
      <c r="R225" s="169"/>
    </row>
    <row r="226" spans="1:18" s="167" customFormat="1" x14ac:dyDescent="0.3">
      <c r="A226" s="166"/>
      <c r="C226" s="178"/>
      <c r="D226" s="178"/>
      <c r="J226" s="170"/>
      <c r="K226" s="170"/>
      <c r="M226" s="171"/>
      <c r="N226" s="172"/>
      <c r="O226" s="172"/>
      <c r="P226" s="173"/>
      <c r="Q226" s="199"/>
      <c r="R226" s="169"/>
    </row>
    <row r="227" spans="1:18" s="167" customFormat="1" x14ac:dyDescent="0.3">
      <c r="A227" s="166"/>
      <c r="C227" s="178"/>
      <c r="D227" s="178"/>
      <c r="J227" s="170"/>
      <c r="K227" s="170"/>
      <c r="M227" s="171"/>
      <c r="N227" s="172"/>
      <c r="O227" s="172"/>
      <c r="P227" s="173"/>
      <c r="Q227" s="199"/>
      <c r="R227" s="169"/>
    </row>
    <row r="228" spans="1:18" s="167" customFormat="1" x14ac:dyDescent="0.3">
      <c r="A228" s="166"/>
      <c r="C228" s="65" t="s">
        <v>139</v>
      </c>
      <c r="D228" s="65"/>
      <c r="E228" s="152"/>
      <c r="F228" s="152"/>
      <c r="G228" s="152">
        <f>COUNTIF(S225:S227,"*áno*")</f>
        <v>0</v>
      </c>
      <c r="J228" s="170"/>
      <c r="K228" s="170"/>
      <c r="M228" s="171"/>
      <c r="N228" s="172"/>
      <c r="O228" s="172"/>
      <c r="P228" s="173"/>
      <c r="Q228" s="199"/>
      <c r="R228" s="169"/>
    </row>
    <row r="229" spans="1:18" s="167" customFormat="1" x14ac:dyDescent="0.3">
      <c r="A229" s="166"/>
      <c r="C229" s="65" t="s">
        <v>140</v>
      </c>
      <c r="D229" s="65"/>
      <c r="E229" s="152"/>
      <c r="F229" s="152"/>
      <c r="G229" s="152">
        <f>COUNTIF(E225:E227,"*w*")</f>
        <v>0</v>
      </c>
      <c r="J229" s="170"/>
      <c r="K229" s="170"/>
      <c r="M229" s="171"/>
      <c r="N229" s="172"/>
      <c r="O229" s="172"/>
      <c r="P229" s="173"/>
      <c r="Q229" s="199"/>
      <c r="R229" s="169"/>
    </row>
    <row r="230" spans="1:18" s="167" customFormat="1" x14ac:dyDescent="0.3">
      <c r="A230" s="166"/>
      <c r="C230" s="65" t="s">
        <v>141</v>
      </c>
      <c r="D230" s="65"/>
      <c r="E230" s="152"/>
      <c r="F230" s="152"/>
      <c r="G230" s="152">
        <f>COUNTIF(E225:E227,"*P*")</f>
        <v>0</v>
      </c>
      <c r="J230" s="170"/>
      <c r="K230" s="170"/>
      <c r="M230" s="171"/>
      <c r="N230" s="172"/>
      <c r="O230" s="172"/>
      <c r="P230" s="173"/>
      <c r="Q230" s="199"/>
      <c r="R230" s="169"/>
    </row>
    <row r="231" spans="1:18" s="167" customFormat="1" x14ac:dyDescent="0.3">
      <c r="A231" s="166"/>
      <c r="C231" s="65" t="s">
        <v>142</v>
      </c>
      <c r="D231" s="65"/>
      <c r="E231" s="152"/>
      <c r="F231" s="152"/>
      <c r="G231" s="152">
        <f>COUNTIF(E225:E227,"*L*")</f>
        <v>0</v>
      </c>
      <c r="J231" s="170"/>
      <c r="K231" s="170"/>
      <c r="M231" s="171"/>
      <c r="N231" s="172"/>
      <c r="O231" s="172"/>
      <c r="P231" s="173"/>
      <c r="Q231" s="199"/>
      <c r="R231" s="169"/>
    </row>
    <row r="232" spans="1:18" s="167" customFormat="1" x14ac:dyDescent="0.3">
      <c r="A232" s="166"/>
      <c r="C232" s="65" t="s">
        <v>143</v>
      </c>
      <c r="D232" s="65"/>
      <c r="E232" s="152"/>
      <c r="F232" s="152"/>
      <c r="G232" s="152">
        <f>COUNTIF(E225:E227,"*V*")</f>
        <v>0</v>
      </c>
      <c r="J232" s="170"/>
      <c r="K232" s="170"/>
      <c r="M232" s="171"/>
      <c r="N232" s="172"/>
      <c r="O232" s="172"/>
      <c r="P232" s="173"/>
      <c r="Q232" s="199"/>
      <c r="R232" s="169"/>
    </row>
    <row r="233" spans="1:18" s="167" customFormat="1" x14ac:dyDescent="0.3">
      <c r="A233" s="166"/>
      <c r="C233" s="65"/>
      <c r="D233" s="65"/>
      <c r="E233" s="152"/>
      <c r="F233" s="152"/>
      <c r="G233" s="152"/>
      <c r="J233" s="170"/>
      <c r="K233" s="170"/>
      <c r="M233" s="171"/>
      <c r="N233" s="172"/>
      <c r="O233" s="172"/>
      <c r="P233" s="173"/>
      <c r="Q233" s="199"/>
      <c r="R233" s="169"/>
    </row>
    <row r="234" spans="1:18" s="167" customFormat="1" x14ac:dyDescent="0.3">
      <c r="A234" s="166"/>
      <c r="C234" s="65" t="s">
        <v>144</v>
      </c>
      <c r="D234" s="65"/>
      <c r="E234" s="152"/>
      <c r="F234" s="152"/>
      <c r="G234" s="152">
        <f>COUNTIF(E225:E227,"*D*")</f>
        <v>0</v>
      </c>
      <c r="J234" s="170"/>
      <c r="K234" s="170"/>
      <c r="M234" s="171"/>
      <c r="N234" s="172"/>
      <c r="O234" s="172"/>
      <c r="P234" s="173"/>
      <c r="Q234" s="199"/>
      <c r="R234" s="169"/>
    </row>
    <row r="235" spans="1:18" s="167" customFormat="1" x14ac:dyDescent="0.3">
      <c r="A235" s="166"/>
      <c r="C235" s="65" t="s">
        <v>145</v>
      </c>
      <c r="D235" s="65"/>
      <c r="E235" s="152"/>
      <c r="F235" s="152"/>
      <c r="G235" s="152">
        <f>COUNTIF(E225:E227,"*S*")</f>
        <v>0</v>
      </c>
      <c r="J235" s="170"/>
      <c r="K235" s="170"/>
      <c r="M235" s="171"/>
      <c r="N235" s="172"/>
      <c r="O235" s="172"/>
      <c r="P235" s="173"/>
      <c r="Q235" s="199"/>
      <c r="R235" s="169"/>
    </row>
    <row r="236" spans="1:18" s="167" customFormat="1" x14ac:dyDescent="0.3">
      <c r="A236" s="166"/>
      <c r="C236" s="65" t="s">
        <v>146</v>
      </c>
      <c r="D236" s="65"/>
      <c r="E236" s="152"/>
      <c r="F236" s="152"/>
      <c r="G236" s="152">
        <f>COUNTIF(E225:E227,"*K*")</f>
        <v>0</v>
      </c>
      <c r="J236" s="170"/>
      <c r="K236" s="170"/>
      <c r="M236" s="171"/>
      <c r="N236" s="172"/>
      <c r="O236" s="172"/>
      <c r="P236" s="173"/>
      <c r="Q236" s="199"/>
      <c r="R236" s="169"/>
    </row>
    <row r="237" spans="1:18" s="167" customFormat="1" x14ac:dyDescent="0.3">
      <c r="A237" s="166"/>
      <c r="C237" s="65" t="s">
        <v>147</v>
      </c>
      <c r="D237" s="65"/>
      <c r="E237" s="152"/>
      <c r="F237" s="152"/>
      <c r="G237" s="152">
        <f>COUNTIF(E225:E227,"*Z*")</f>
        <v>0</v>
      </c>
      <c r="J237" s="170"/>
      <c r="K237" s="170"/>
      <c r="M237" s="171"/>
      <c r="N237" s="172"/>
      <c r="O237" s="172"/>
      <c r="P237" s="173"/>
      <c r="Q237" s="199"/>
      <c r="R237" s="169"/>
    </row>
    <row r="238" spans="1:18" s="167" customFormat="1" x14ac:dyDescent="0.3">
      <c r="A238" s="166"/>
      <c r="C238" s="178"/>
      <c r="D238" s="178"/>
      <c r="J238" s="170"/>
      <c r="K238" s="170"/>
      <c r="M238" s="171"/>
      <c r="N238" s="172"/>
      <c r="O238" s="172"/>
      <c r="P238" s="173"/>
      <c r="Q238" s="199"/>
      <c r="R238" s="169"/>
    </row>
    <row r="239" spans="1:18" s="167" customFormat="1" ht="15" thickBot="1" x14ac:dyDescent="0.35">
      <c r="A239" s="166"/>
      <c r="G239" s="168"/>
      <c r="J239" s="170"/>
      <c r="K239" s="170"/>
      <c r="M239" s="171"/>
      <c r="N239" s="172"/>
      <c r="O239" s="172"/>
      <c r="P239" s="173"/>
      <c r="Q239" s="199"/>
      <c r="R239" s="169"/>
    </row>
    <row r="240" spans="1:18" s="101" customFormat="1" ht="15" thickBot="1" x14ac:dyDescent="0.35">
      <c r="A240" s="176"/>
      <c r="R240" s="200"/>
    </row>
    <row r="242" spans="1:47" x14ac:dyDescent="0.3">
      <c r="A242" s="177" t="s">
        <v>77</v>
      </c>
      <c r="C242" s="65" t="s">
        <v>139</v>
      </c>
      <c r="D242" s="65"/>
      <c r="G242" s="152">
        <f>COUNTIF(S33:S239,"*áno*")</f>
        <v>48</v>
      </c>
    </row>
    <row r="243" spans="1:47" x14ac:dyDescent="0.3">
      <c r="A243" s="177"/>
      <c r="C243" s="65" t="s">
        <v>140</v>
      </c>
      <c r="D243" s="65"/>
      <c r="G243" s="152">
        <f>COUNTIF(E33:E239,"*w*")</f>
        <v>37</v>
      </c>
    </row>
    <row r="244" spans="1:47" x14ac:dyDescent="0.3">
      <c r="A244" s="177"/>
      <c r="C244" s="65" t="s">
        <v>141</v>
      </c>
      <c r="D244" s="65"/>
      <c r="G244" s="152">
        <f>COUNTIF(E33:E239,"*P*")</f>
        <v>18</v>
      </c>
    </row>
    <row r="245" spans="1:47" x14ac:dyDescent="0.3">
      <c r="A245" s="177"/>
      <c r="C245" s="65" t="s">
        <v>142</v>
      </c>
      <c r="D245" s="65"/>
      <c r="G245" s="152">
        <f>COUNTIF(E33:E239,"*L*")</f>
        <v>10</v>
      </c>
    </row>
    <row r="246" spans="1:47" x14ac:dyDescent="0.3">
      <c r="A246" s="177"/>
      <c r="C246" s="65" t="s">
        <v>143</v>
      </c>
      <c r="D246" s="65"/>
      <c r="G246" s="152">
        <f>COUNTIF(E33:E239,"*V*")</f>
        <v>19</v>
      </c>
    </row>
    <row r="247" spans="1:47" x14ac:dyDescent="0.3">
      <c r="A247" s="177"/>
      <c r="C247" s="65"/>
      <c r="D247" s="65"/>
    </row>
    <row r="248" spans="1:47" x14ac:dyDescent="0.3">
      <c r="A248" s="65"/>
      <c r="C248" s="65" t="s">
        <v>144</v>
      </c>
      <c r="D248" s="65"/>
      <c r="G248" s="152">
        <f>COUNTIF(E33:E239,"*D*")</f>
        <v>38</v>
      </c>
    </row>
    <row r="249" spans="1:47" x14ac:dyDescent="0.3">
      <c r="A249" s="65"/>
      <c r="C249" s="65" t="s">
        <v>145</v>
      </c>
      <c r="D249" s="65"/>
      <c r="G249" s="152">
        <f>COUNTIF(E33:E239,"*S*")</f>
        <v>2</v>
      </c>
    </row>
    <row r="250" spans="1:47" x14ac:dyDescent="0.3">
      <c r="A250" s="65"/>
      <c r="C250" s="65" t="s">
        <v>146</v>
      </c>
      <c r="D250" s="65"/>
      <c r="G250" s="152">
        <f>COUNTIF(E33:E239,"*K*")</f>
        <v>4</v>
      </c>
    </row>
    <row r="251" spans="1:47" x14ac:dyDescent="0.3">
      <c r="A251" s="178"/>
      <c r="C251" s="65" t="s">
        <v>147</v>
      </c>
      <c r="D251" s="65"/>
      <c r="G251" s="152">
        <f>COUNTIF(E33:E239,"*Z*")</f>
        <v>35</v>
      </c>
    </row>
    <row r="253" spans="1:47" s="179" customFormat="1" ht="15" customHeight="1" x14ac:dyDescent="0.3">
      <c r="A253" s="457" t="s">
        <v>148</v>
      </c>
      <c r="B253" s="458"/>
      <c r="C253" s="459" t="s">
        <v>48</v>
      </c>
      <c r="D253" s="460"/>
      <c r="E253" s="461"/>
      <c r="F253" s="462" t="s">
        <v>149</v>
      </c>
      <c r="G253" s="463"/>
      <c r="H253" s="464" t="s">
        <v>45</v>
      </c>
      <c r="I253" s="465"/>
      <c r="J253" s="466" t="s">
        <v>46</v>
      </c>
      <c r="K253" s="467"/>
      <c r="L253" s="468" t="s">
        <v>47</v>
      </c>
      <c r="M253" s="469"/>
      <c r="N253" s="470" t="s">
        <v>150</v>
      </c>
      <c r="O253" s="471"/>
      <c r="P253" s="482" t="s">
        <v>151</v>
      </c>
      <c r="Q253" s="483"/>
      <c r="R253" s="201"/>
    </row>
    <row r="254" spans="1:47" s="177" customFormat="1" ht="15" customHeight="1" x14ac:dyDescent="0.3">
      <c r="A254" s="457" t="s">
        <v>152</v>
      </c>
      <c r="B254" s="458"/>
      <c r="C254" s="486" t="s">
        <v>153</v>
      </c>
      <c r="D254" s="487"/>
      <c r="E254" s="488"/>
      <c r="F254" s="462" t="s">
        <v>154</v>
      </c>
      <c r="G254" s="463"/>
      <c r="H254" s="464" t="s">
        <v>155</v>
      </c>
      <c r="I254" s="465"/>
      <c r="J254" s="466" t="s">
        <v>156</v>
      </c>
      <c r="K254" s="467"/>
      <c r="L254" s="468" t="s">
        <v>157</v>
      </c>
      <c r="M254" s="469"/>
      <c r="N254" s="470" t="s">
        <v>158</v>
      </c>
      <c r="O254" s="471"/>
      <c r="P254" s="482" t="s">
        <v>159</v>
      </c>
      <c r="Q254" s="483"/>
      <c r="R254" s="202"/>
      <c r="S254" s="74"/>
      <c r="AI254" s="180"/>
      <c r="AJ254" s="180"/>
      <c r="AK254" s="180"/>
      <c r="AL254" s="180"/>
      <c r="AM254" s="180"/>
      <c r="AN254" s="180"/>
      <c r="AO254" s="180"/>
      <c r="AP254" s="180"/>
      <c r="AQ254" s="180"/>
      <c r="AR254" s="180"/>
      <c r="AS254" s="180"/>
    </row>
    <row r="255" spans="1:47" s="177" customFormat="1" x14ac:dyDescent="0.3">
      <c r="A255" s="457" t="s">
        <v>49</v>
      </c>
      <c r="B255" s="458"/>
      <c r="C255" s="126" t="s">
        <v>78</v>
      </c>
      <c r="D255" s="376"/>
      <c r="E255" s="486" t="s">
        <v>51</v>
      </c>
      <c r="F255" s="488"/>
      <c r="G255" s="462" t="s">
        <v>52</v>
      </c>
      <c r="H255" s="463"/>
      <c r="I255" s="464" t="s">
        <v>53</v>
      </c>
      <c r="J255" s="465"/>
      <c r="K255" s="494" t="s">
        <v>54</v>
      </c>
      <c r="L255" s="495"/>
      <c r="M255" s="466" t="s">
        <v>55</v>
      </c>
      <c r="N255" s="467"/>
      <c r="O255" s="468" t="s">
        <v>56</v>
      </c>
      <c r="P255" s="469"/>
      <c r="Q255" s="470" t="s">
        <v>57</v>
      </c>
      <c r="R255" s="471"/>
      <c r="S255" s="127" t="s">
        <v>58</v>
      </c>
      <c r="AI255" s="180"/>
      <c r="AJ255" s="180"/>
      <c r="AK255" s="180"/>
      <c r="AL255" s="180"/>
      <c r="AM255" s="180"/>
      <c r="AN255" s="180"/>
      <c r="AO255" s="180"/>
      <c r="AP255" s="180"/>
      <c r="AQ255" s="180"/>
      <c r="AR255" s="180"/>
      <c r="AS255" s="180"/>
      <c r="AT255" s="180"/>
      <c r="AU255" s="180"/>
    </row>
    <row r="256" spans="1:47" s="177" customFormat="1" x14ac:dyDescent="0.3">
      <c r="A256" s="457" t="s">
        <v>50</v>
      </c>
      <c r="B256" s="458"/>
      <c r="C256" s="126" t="s">
        <v>79</v>
      </c>
      <c r="D256" s="376"/>
      <c r="E256" s="486" t="s">
        <v>59</v>
      </c>
      <c r="F256" s="488"/>
      <c r="G256" s="462" t="s">
        <v>60</v>
      </c>
      <c r="H256" s="463"/>
      <c r="I256" s="464" t="s">
        <v>61</v>
      </c>
      <c r="J256" s="465"/>
      <c r="K256" s="466" t="s">
        <v>62</v>
      </c>
      <c r="L256" s="467"/>
      <c r="M256" s="468" t="s">
        <v>82</v>
      </c>
      <c r="N256" s="469"/>
      <c r="O256" s="470" t="s">
        <v>83</v>
      </c>
      <c r="P256" s="471"/>
      <c r="Q256" s="482" t="s">
        <v>81</v>
      </c>
      <c r="R256" s="483"/>
      <c r="S256" s="74"/>
      <c r="AI256" s="180"/>
      <c r="AJ256" s="180"/>
      <c r="AK256" s="180"/>
      <c r="AL256" s="180"/>
      <c r="AM256" s="180"/>
      <c r="AN256" s="180"/>
      <c r="AO256" s="180"/>
      <c r="AP256" s="180"/>
      <c r="AQ256" s="180"/>
    </row>
    <row r="257" spans="1:48" s="177" customFormat="1" x14ac:dyDescent="0.3">
      <c r="A257" s="457" t="s">
        <v>71</v>
      </c>
      <c r="B257" s="458"/>
      <c r="C257" s="126" t="s">
        <v>78</v>
      </c>
      <c r="D257" s="376"/>
      <c r="E257" s="486" t="s">
        <v>52</v>
      </c>
      <c r="F257" s="488"/>
      <c r="G257" s="462" t="s">
        <v>53</v>
      </c>
      <c r="H257" s="463"/>
      <c r="I257" s="464" t="s">
        <v>72</v>
      </c>
      <c r="J257" s="465"/>
      <c r="K257" s="466" t="s">
        <v>73</v>
      </c>
      <c r="L257" s="467"/>
      <c r="M257" s="468" t="s">
        <v>75</v>
      </c>
      <c r="N257" s="469"/>
      <c r="O257" s="470" t="s">
        <v>74</v>
      </c>
      <c r="P257" s="471"/>
      <c r="Q257" s="482" t="s">
        <v>76</v>
      </c>
      <c r="R257" s="483"/>
      <c r="S257" s="74"/>
      <c r="AI257" s="180"/>
      <c r="AJ257" s="180"/>
      <c r="AK257" s="180"/>
      <c r="AL257" s="180"/>
      <c r="AM257" s="180"/>
      <c r="AN257" s="180"/>
      <c r="AO257" s="180"/>
      <c r="AP257" s="180"/>
      <c r="AQ257" s="180"/>
      <c r="AR257" s="180"/>
      <c r="AS257" s="180"/>
      <c r="AT257" s="180"/>
      <c r="AU257" s="180"/>
      <c r="AV257" s="180"/>
    </row>
    <row r="258" spans="1:48" s="177" customFormat="1" x14ac:dyDescent="0.3">
      <c r="A258" s="457" t="s">
        <v>70</v>
      </c>
      <c r="B258" s="458"/>
      <c r="C258" s="126" t="s">
        <v>80</v>
      </c>
      <c r="D258" s="376"/>
      <c r="E258" s="496" t="s">
        <v>63</v>
      </c>
      <c r="F258" s="497"/>
      <c r="G258" s="486" t="s">
        <v>64</v>
      </c>
      <c r="H258" s="488"/>
      <c r="I258" s="462" t="s">
        <v>65</v>
      </c>
      <c r="J258" s="463"/>
      <c r="K258" s="464" t="s">
        <v>160</v>
      </c>
      <c r="L258" s="465"/>
      <c r="M258" s="466" t="s">
        <v>66</v>
      </c>
      <c r="N258" s="467"/>
      <c r="O258" s="468" t="s">
        <v>67</v>
      </c>
      <c r="P258" s="469"/>
      <c r="Q258" s="470" t="s">
        <v>68</v>
      </c>
      <c r="R258" s="471"/>
      <c r="S258" s="125" t="s">
        <v>69</v>
      </c>
      <c r="AI258" s="180"/>
      <c r="AJ258" s="180"/>
      <c r="AK258" s="180"/>
      <c r="AL258" s="180"/>
      <c r="AM258" s="180"/>
      <c r="AN258" s="180"/>
      <c r="AO258" s="180"/>
      <c r="AP258" s="180"/>
      <c r="AQ258" s="180"/>
      <c r="AR258" s="180"/>
      <c r="AS258" s="180"/>
    </row>
    <row r="259" spans="1:48" s="179" customFormat="1" ht="15" customHeight="1" x14ac:dyDescent="0.3">
      <c r="A259" s="502" t="s">
        <v>161</v>
      </c>
      <c r="B259" s="503"/>
      <c r="C259" s="181" t="s">
        <v>162</v>
      </c>
      <c r="D259" s="377"/>
      <c r="E259" s="514" t="s">
        <v>163</v>
      </c>
      <c r="F259" s="515"/>
      <c r="G259" s="516" t="s">
        <v>164</v>
      </c>
      <c r="H259" s="517"/>
      <c r="I259" s="518" t="s">
        <v>165</v>
      </c>
      <c r="J259" s="519"/>
      <c r="K259" s="504" t="s">
        <v>166</v>
      </c>
      <c r="L259" s="505"/>
      <c r="M259" s="506" t="s">
        <v>167</v>
      </c>
      <c r="N259" s="507"/>
      <c r="O259" s="498" t="s">
        <v>168</v>
      </c>
      <c r="P259" s="499"/>
      <c r="Q259" s="500" t="s">
        <v>169</v>
      </c>
      <c r="R259" s="501"/>
    </row>
    <row r="260" spans="1:48" ht="15" customHeight="1" x14ac:dyDescent="0.3">
      <c r="A260" s="502" t="s">
        <v>131</v>
      </c>
      <c r="B260" s="503"/>
      <c r="C260" s="182" t="s">
        <v>170</v>
      </c>
      <c r="D260" s="375"/>
      <c r="E260" s="504" t="s">
        <v>171</v>
      </c>
      <c r="F260" s="505"/>
      <c r="G260" s="506" t="s">
        <v>172</v>
      </c>
      <c r="H260" s="507"/>
      <c r="I260" s="498" t="s">
        <v>173</v>
      </c>
      <c r="J260" s="499"/>
      <c r="K260" s="500" t="s">
        <v>174</v>
      </c>
      <c r="L260" s="501"/>
      <c r="M260" s="508" t="s">
        <v>175</v>
      </c>
      <c r="N260" s="509"/>
      <c r="O260" s="510" t="s">
        <v>176</v>
      </c>
      <c r="P260" s="511"/>
      <c r="Q260" s="512" t="s">
        <v>177</v>
      </c>
      <c r="R260" s="513"/>
    </row>
  </sheetData>
  <mergeCells count="73">
    <mergeCell ref="O259:P259"/>
    <mergeCell ref="Q259:R259"/>
    <mergeCell ref="A260:B260"/>
    <mergeCell ref="E260:F260"/>
    <mergeCell ref="G260:H260"/>
    <mergeCell ref="I260:J260"/>
    <mergeCell ref="K260:L260"/>
    <mergeCell ref="M260:N260"/>
    <mergeCell ref="O260:P260"/>
    <mergeCell ref="Q260:R260"/>
    <mergeCell ref="A259:B259"/>
    <mergeCell ref="E259:F259"/>
    <mergeCell ref="G259:H259"/>
    <mergeCell ref="I259:J259"/>
    <mergeCell ref="K259:L259"/>
    <mergeCell ref="M259:N259"/>
    <mergeCell ref="O257:P257"/>
    <mergeCell ref="Q257:R257"/>
    <mergeCell ref="A258:B258"/>
    <mergeCell ref="E258:F258"/>
    <mergeCell ref="G258:H258"/>
    <mergeCell ref="I258:J258"/>
    <mergeCell ref="K258:L258"/>
    <mergeCell ref="M258:N258"/>
    <mergeCell ref="O258:P258"/>
    <mergeCell ref="Q258:R258"/>
    <mergeCell ref="A257:B257"/>
    <mergeCell ref="E257:F257"/>
    <mergeCell ref="G257:H257"/>
    <mergeCell ref="I257:J257"/>
    <mergeCell ref="K257:L257"/>
    <mergeCell ref="M257:N257"/>
    <mergeCell ref="O255:P255"/>
    <mergeCell ref="Q255:R255"/>
    <mergeCell ref="A256:B256"/>
    <mergeCell ref="E256:F256"/>
    <mergeCell ref="G256:H256"/>
    <mergeCell ref="I256:J256"/>
    <mergeCell ref="K256:L256"/>
    <mergeCell ref="M256:N256"/>
    <mergeCell ref="O256:P256"/>
    <mergeCell ref="Q256:R256"/>
    <mergeCell ref="A255:B255"/>
    <mergeCell ref="E255:F255"/>
    <mergeCell ref="G255:H255"/>
    <mergeCell ref="I255:J255"/>
    <mergeCell ref="K255:L255"/>
    <mergeCell ref="M255:N255"/>
    <mergeCell ref="L254:M254"/>
    <mergeCell ref="N254:O254"/>
    <mergeCell ref="P254:Q254"/>
    <mergeCell ref="M1:P1"/>
    <mergeCell ref="Q1:S1"/>
    <mergeCell ref="A254:B254"/>
    <mergeCell ref="C254:E254"/>
    <mergeCell ref="F254:G254"/>
    <mergeCell ref="H254:I254"/>
    <mergeCell ref="J254:K254"/>
    <mergeCell ref="T1:T2"/>
    <mergeCell ref="A253:B253"/>
    <mergeCell ref="C253:E253"/>
    <mergeCell ref="F253:G253"/>
    <mergeCell ref="H253:I253"/>
    <mergeCell ref="J253:K253"/>
    <mergeCell ref="L253:M253"/>
    <mergeCell ref="N253:O253"/>
    <mergeCell ref="A1:A2"/>
    <mergeCell ref="B1:B2"/>
    <mergeCell ref="E1:G1"/>
    <mergeCell ref="J1:L1"/>
    <mergeCell ref="H1:I1"/>
    <mergeCell ref="P253:Q253"/>
    <mergeCell ref="C1:D1"/>
  </mergeCells>
  <conditionalFormatting sqref="C242:D245 C248:D251 A242:A251 C14:D31 C171:D238">
    <cfRule type="expression" dxfId="140" priority="220">
      <formula>$A14="SUMÁCIA:"</formula>
    </cfRule>
  </conditionalFormatting>
  <conditionalFormatting sqref="A249:A251 C249:D251 C15:D31 C172:D238">
    <cfRule type="expression" dxfId="139" priority="218">
      <formula>$E15="VB"</formula>
    </cfRule>
    <cfRule type="expression" dxfId="138" priority="219">
      <formula>$A15="SUMÁCIA:"</formula>
    </cfRule>
  </conditionalFormatting>
  <conditionalFormatting sqref="J33:J239">
    <cfRule type="cellIs" dxfId="137" priority="210" operator="greaterThan">
      <formula>30</formula>
    </cfRule>
    <cfRule type="cellIs" dxfId="136" priority="211" operator="between">
      <formula>25</formula>
      <formula>30</formula>
    </cfRule>
    <cfRule type="cellIs" dxfId="135" priority="212" operator="between">
      <formula>20</formula>
      <formula>25</formula>
    </cfRule>
    <cfRule type="cellIs" dxfId="134" priority="213" operator="between">
      <formula>15</formula>
      <formula>20</formula>
    </cfRule>
    <cfRule type="cellIs" dxfId="133" priority="214" operator="between">
      <formula>10</formula>
      <formula>15</formula>
    </cfRule>
    <cfRule type="cellIs" dxfId="132" priority="215" operator="between">
      <formula>5</formula>
      <formula>10</formula>
    </cfRule>
    <cfRule type="cellIs" dxfId="131" priority="216" operator="between">
      <formula>0</formula>
      <formula>5</formula>
    </cfRule>
  </conditionalFormatting>
  <conditionalFormatting sqref="I255 G256 C254:D254 F254">
    <cfRule type="cellIs" dxfId="130" priority="209" operator="lessThan">
      <formula>-20</formula>
    </cfRule>
  </conditionalFormatting>
  <conditionalFormatting sqref="K33:K239">
    <cfRule type="cellIs" dxfId="129" priority="202" operator="greaterThan">
      <formula>15</formula>
    </cfRule>
    <cfRule type="cellIs" dxfId="128" priority="203" operator="between">
      <formula>13</formula>
      <formula>15</formula>
    </cfRule>
    <cfRule type="cellIs" dxfId="127" priority="204" operator="between">
      <formula>11</formula>
      <formula>13</formula>
    </cfRule>
    <cfRule type="cellIs" dxfId="126" priority="205" operator="between">
      <formula>8</formula>
      <formula>11</formula>
    </cfRule>
    <cfRule type="cellIs" dxfId="125" priority="206" operator="between">
      <formula>5</formula>
      <formula>8</formula>
    </cfRule>
    <cfRule type="cellIs" dxfId="124" priority="207" operator="between">
      <formula>2</formula>
      <formula>5</formula>
    </cfRule>
    <cfRule type="cellIs" dxfId="123" priority="208" operator="between">
      <formula>0</formula>
      <formula>2</formula>
    </cfRule>
  </conditionalFormatting>
  <conditionalFormatting sqref="M33:M239">
    <cfRule type="cellIs" dxfId="122" priority="195" operator="greaterThan">
      <formula>150</formula>
    </cfRule>
    <cfRule type="cellIs" dxfId="121" priority="196" operator="between">
      <formula>90</formula>
      <formula>150</formula>
    </cfRule>
    <cfRule type="cellIs" dxfId="120" priority="197" operator="between">
      <formula>50</formula>
      <formula>90</formula>
    </cfRule>
    <cfRule type="cellIs" dxfId="119" priority="198" operator="between">
      <formula>30</formula>
      <formula>50</formula>
    </cfRule>
    <cfRule type="cellIs" dxfId="118" priority="199" operator="between">
      <formula>15</formula>
      <formula>30</formula>
    </cfRule>
    <cfRule type="cellIs" dxfId="117" priority="200" operator="between">
      <formula>5</formula>
      <formula>15</formula>
    </cfRule>
    <cfRule type="cellIs" dxfId="116" priority="201" operator="between">
      <formula>0</formula>
      <formula>5</formula>
    </cfRule>
  </conditionalFormatting>
  <conditionalFormatting sqref="N33:N239">
    <cfRule type="cellIs" dxfId="115" priority="187" operator="greaterThan">
      <formula>80</formula>
    </cfRule>
    <cfRule type="cellIs" dxfId="114" priority="188" operator="between">
      <formula>60</formula>
      <formula>80</formula>
    </cfRule>
    <cfRule type="cellIs" dxfId="113" priority="189" operator="between">
      <formula>45</formula>
      <formula>60</formula>
    </cfRule>
    <cfRule type="cellIs" dxfId="112" priority="190" operator="between">
      <formula>30</formula>
      <formula>45</formula>
    </cfRule>
    <cfRule type="cellIs" dxfId="111" priority="191" operator="between">
      <formula>15</formula>
      <formula>30</formula>
    </cfRule>
    <cfRule type="cellIs" dxfId="110" priority="192" operator="between">
      <formula>10</formula>
      <formula>15</formula>
    </cfRule>
    <cfRule type="cellIs" dxfId="109" priority="193" operator="between">
      <formula>5</formula>
      <formula>10</formula>
    </cfRule>
    <cfRule type="cellIs" dxfId="108" priority="194" operator="between">
      <formula>0</formula>
      <formula>5</formula>
    </cfRule>
  </conditionalFormatting>
  <conditionalFormatting sqref="O166:O239 O33:O164">
    <cfRule type="cellIs" dxfId="107" priority="180" operator="greaterThan">
      <formula>50</formula>
    </cfRule>
    <cfRule type="cellIs" dxfId="106" priority="181" operator="between">
      <formula>40</formula>
      <formula>50</formula>
    </cfRule>
    <cfRule type="cellIs" dxfId="105" priority="182" operator="between">
      <formula>30</formula>
      <formula>40</formula>
    </cfRule>
    <cfRule type="cellIs" dxfId="104" priority="183" operator="between">
      <formula>20</formula>
      <formula>30</formula>
    </cfRule>
    <cfRule type="cellIs" dxfId="103" priority="184" operator="between">
      <formula>15</formula>
      <formula>20</formula>
    </cfRule>
    <cfRule type="cellIs" dxfId="102" priority="185" operator="between">
      <formula>10</formula>
      <formula>15</formula>
    </cfRule>
    <cfRule type="cellIs" dxfId="101" priority="186" operator="between">
      <formula>5</formula>
      <formula>10</formula>
    </cfRule>
  </conditionalFormatting>
  <conditionalFormatting sqref="P33:P239">
    <cfRule type="cellIs" dxfId="100" priority="172" operator="greaterThan">
      <formula>30</formula>
    </cfRule>
    <cfRule type="cellIs" dxfId="99" priority="173" operator="between">
      <formula>20</formula>
      <formula>30</formula>
    </cfRule>
    <cfRule type="cellIs" dxfId="98" priority="174" operator="between">
      <formula>15</formula>
      <formula>20</formula>
    </cfRule>
    <cfRule type="cellIs" dxfId="97" priority="175" operator="between">
      <formula>10</formula>
      <formula>15</formula>
    </cfRule>
    <cfRule type="cellIs" dxfId="96" priority="176" operator="between">
      <formula>5</formula>
      <formula>10</formula>
    </cfRule>
    <cfRule type="cellIs" dxfId="95" priority="177" operator="between">
      <formula>3</formula>
      <formula>5</formula>
    </cfRule>
    <cfRule type="cellIs" dxfId="94" priority="178" operator="between">
      <formula>1</formula>
      <formula>3</formula>
    </cfRule>
    <cfRule type="cellIs" dxfId="93" priority="179" operator="between">
      <formula>0</formula>
      <formula>1</formula>
    </cfRule>
  </conditionalFormatting>
  <conditionalFormatting sqref="M194:P194 M209:P237 O164 M176:P186 O166:O239 M164:N239 P164:P239 M33:P163">
    <cfRule type="cellIs" dxfId="92" priority="171" operator="equal">
      <formula>0</formula>
    </cfRule>
  </conditionalFormatting>
  <conditionalFormatting sqref="Q163:Q239 Q33:Q158">
    <cfRule type="cellIs" dxfId="91" priority="163" operator="greaterThan">
      <formula>2500</formula>
    </cfRule>
    <cfRule type="cellIs" dxfId="90" priority="164" operator="between">
      <formula>1800</formula>
      <formula>2500</formula>
    </cfRule>
    <cfRule type="cellIs" dxfId="89" priority="165" operator="between">
      <formula>1200</formula>
      <formula>1800</formula>
    </cfRule>
    <cfRule type="cellIs" dxfId="88" priority="166" operator="between">
      <formula>700</formula>
      <formula>1200</formula>
    </cfRule>
    <cfRule type="cellIs" dxfId="87" priority="167" operator="between">
      <formula>350</formula>
      <formula>700</formula>
    </cfRule>
    <cfRule type="cellIs" dxfId="86" priority="168" operator="between">
      <formula>50</formula>
      <formula>350</formula>
    </cfRule>
    <cfRule type="cellIs" dxfId="85" priority="169" operator="between">
      <formula>10</formula>
      <formula>50</formula>
    </cfRule>
    <cfRule type="cellIs" dxfId="84" priority="170" operator="between">
      <formula>1</formula>
      <formula>10</formula>
    </cfRule>
  </conditionalFormatting>
  <conditionalFormatting sqref="A194:XFD194 A209:XFD237 C8:G31 O164 A176:XFD186 O166:O239 P164:XFD239 A164:N239 A163:XFD163 A159:P162 S159:XFD162 A32:XFD158">
    <cfRule type="containsBlanks" dxfId="83" priority="161">
      <formula>LEN(TRIM(A8))=0</formula>
    </cfRule>
  </conditionalFormatting>
  <conditionalFormatting sqref="E143:E239 XFD143:XFD239 XEZ143:XEZ239 XEV143:XEV239 XER143:XER239 XEN143:XEN239 XEJ143:XEJ239 XEF143:XEF239 XEB143:XEB239 XDX143:XDX239 XDT143:XDT239 XDP143:XDP239 XDL143:XDL239 XDH143:XDH239 XDD143:XDD239 XCZ143:XCZ239 XCV143:XCV239 XCR143:XCR239 XCN143:XCN239 XCJ143:XCJ239 XCF143:XCF239 XCB143:XCB239 XBX143:XBX239 XBT143:XBT239 XBP143:XBP239 XBL143:XBL239 XBH143:XBH239 XBD143:XBD239 XAZ143:XAZ239 XAV143:XAV239 XAR143:XAR239 XAN143:XAN239 XAJ143:XAJ239 XAF143:XAF239 XAB143:XAB239 WZX143:WZX239 WZT143:WZT239 WZP143:WZP239 WZL143:WZL239 WZH143:WZH239 WZD143:WZD239 WYZ143:WYZ239 WYV143:WYV239 WYR143:WYR239 WYN143:WYN239 WYJ143:WYJ239 WYF143:WYF239 WYB143:WYB239 WXX143:WXX239 WXT143:WXT239 WXP143:WXP239 WXL143:WXL239 WXH143:WXH239 WXD143:WXD239 WWZ143:WWZ239 WWV143:WWV239 WWR143:WWR239 WWN143:WWN239 WWJ143:WWJ239 WWF143:WWF239 WWB143:WWB239 WVX143:WVX239 WVT143:WVT239 WVP143:WVP239 WVL143:WVL239 WVH143:WVH239 WVD143:WVD239 WUZ143:WUZ239 WUV143:WUV239 WUR143:WUR239 WUN143:WUN239 WUJ143:WUJ239 WUF143:WUF239 WUB143:WUB239 WTX143:WTX239 WTT143:WTT239 WTP143:WTP239 WTL143:WTL239 WTH143:WTH239 WTD143:WTD239 WSZ143:WSZ239 WSV143:WSV239 WSR143:WSR239 WSN143:WSN239 WSJ143:WSJ239 WSF143:WSF239 WSB143:WSB239 WRX143:WRX239 WRT143:WRT239 WRP143:WRP239 WRL143:WRL239 WRH143:WRH239 WRD143:WRD239 WQZ143:WQZ239 WQV143:WQV239 WQR143:WQR239 WQN143:WQN239 WQJ143:WQJ239 WQF143:WQF239 WQB143:WQB239 WPX143:WPX239 WPT143:WPT239 WPP143:WPP239 WPL143:WPL239 WPH143:WPH239 WPD143:WPD239 WOZ143:WOZ239 WOV143:WOV239 WOR143:WOR239 WON143:WON239 WOJ143:WOJ239 WOF143:WOF239 WOB143:WOB239 WNX143:WNX239 WNT143:WNT239 WNP143:WNP239 WNL143:WNL239 WNH143:WNH239 WND143:WND239 WMZ143:WMZ239 WMV143:WMV239 WMR143:WMR239 WMN143:WMN239 WMJ143:WMJ239 WMF143:WMF239 WMB143:WMB239 WLX143:WLX239 WLT143:WLT239 WLP143:WLP239 WLL143:WLL239 WLH143:WLH239 WLD143:WLD239 WKZ143:WKZ239 WKV143:WKV239 WKR143:WKR239 WKN143:WKN239 WKJ143:WKJ239 WKF143:WKF239 WKB143:WKB239 WJX143:WJX239 WJT143:WJT239 WJP143:WJP239 WJL143:WJL239 WJH143:WJH239 WJD143:WJD239 WIZ143:WIZ239 WIV143:WIV239 WIR143:WIR239 WIN143:WIN239 WIJ143:WIJ239 WIF143:WIF239 WIB143:WIB239 WHX143:WHX239 WHT143:WHT239 WHP143:WHP239 WHL143:WHL239 WHH143:WHH239 WHD143:WHD239 WGZ143:WGZ239 WGV143:WGV239 WGR143:WGR239 WGN143:WGN239 WGJ143:WGJ239 WGF143:WGF239 WGB143:WGB239 WFX143:WFX239 WFT143:WFT239 WFP143:WFP239 WFL143:WFL239 WFH143:WFH239 WFD143:WFD239 WEZ143:WEZ239 WEV143:WEV239 WER143:WER239 WEN143:WEN239 WEJ143:WEJ239 WEF143:WEF239 WEB143:WEB239 WDX143:WDX239 WDT143:WDT239 WDP143:WDP239 WDL143:WDL239 WDH143:WDH239 WDD143:WDD239 WCZ143:WCZ239 WCV143:WCV239 WCR143:WCR239 WCN143:WCN239 WCJ143:WCJ239 WCF143:WCF239 WCB143:WCB239 WBX143:WBX239 WBT143:WBT239 WBP143:WBP239 WBL143:WBL239 WBH143:WBH239 WBD143:WBD239 WAZ143:WAZ239 WAV143:WAV239 WAR143:WAR239 WAN143:WAN239 WAJ143:WAJ239 WAF143:WAF239 WAB143:WAB239 VZX143:VZX239 VZT143:VZT239 VZP143:VZP239 VZL143:VZL239 VZH143:VZH239 VZD143:VZD239 VYZ143:VYZ239 VYV143:VYV239 VYR143:VYR239 VYN143:VYN239 VYJ143:VYJ239 VYF143:VYF239 VYB143:VYB239 VXX143:VXX239 VXT143:VXT239 VXP143:VXP239 VXL143:VXL239 VXH143:VXH239 VXD143:VXD239 VWZ143:VWZ239 VWV143:VWV239 VWR143:VWR239 VWN143:VWN239 VWJ143:VWJ239 VWF143:VWF239 VWB143:VWB239 VVX143:VVX239 VVT143:VVT239 VVP143:VVP239 VVL143:VVL239 VVH143:VVH239 VVD143:VVD239 VUZ143:VUZ239 VUV143:VUV239 VUR143:VUR239 VUN143:VUN239 VUJ143:VUJ239 VUF143:VUF239 VUB143:VUB239 VTX143:VTX239 VTT143:VTT239 VTP143:VTP239 VTL143:VTL239 VTH143:VTH239 VTD143:VTD239 VSZ143:VSZ239 VSV143:VSV239 VSR143:VSR239 VSN143:VSN239 VSJ143:VSJ239 VSF143:VSF239 VSB143:VSB239 VRX143:VRX239 VRT143:VRT239 VRP143:VRP239 VRL143:VRL239 VRH143:VRH239 VRD143:VRD239 VQZ143:VQZ239 VQV143:VQV239 VQR143:VQR239 VQN143:VQN239 VQJ143:VQJ239 VQF143:VQF239 VQB143:VQB239 VPX143:VPX239 VPT143:VPT239 VPP143:VPP239 VPL143:VPL239 VPH143:VPH239 VPD143:VPD239 VOZ143:VOZ239 VOV143:VOV239 VOR143:VOR239 VON143:VON239 VOJ143:VOJ239 VOF143:VOF239 VOB143:VOB239 VNX143:VNX239 VNT143:VNT239 VNP143:VNP239 VNL143:VNL239 VNH143:VNH239 VND143:VND239 VMZ143:VMZ239 VMV143:VMV239 VMR143:VMR239 VMN143:VMN239 VMJ143:VMJ239 VMF143:VMF239 VMB143:VMB239 VLX143:VLX239 VLT143:VLT239 VLP143:VLP239 VLL143:VLL239 VLH143:VLH239 VLD143:VLD239 VKZ143:VKZ239 VKV143:VKV239 VKR143:VKR239 VKN143:VKN239 VKJ143:VKJ239 VKF143:VKF239 VKB143:VKB239 VJX143:VJX239 VJT143:VJT239 VJP143:VJP239 VJL143:VJL239 VJH143:VJH239 VJD143:VJD239 VIZ143:VIZ239 VIV143:VIV239 VIR143:VIR239 VIN143:VIN239 VIJ143:VIJ239 VIF143:VIF239 VIB143:VIB239 VHX143:VHX239 VHT143:VHT239 VHP143:VHP239 VHL143:VHL239 VHH143:VHH239 VHD143:VHD239 VGZ143:VGZ239 VGV143:VGV239 VGR143:VGR239 VGN143:VGN239 VGJ143:VGJ239 VGF143:VGF239 VGB143:VGB239 VFX143:VFX239 VFT143:VFT239 VFP143:VFP239 VFL143:VFL239 VFH143:VFH239 VFD143:VFD239 VEZ143:VEZ239 VEV143:VEV239 VER143:VER239 VEN143:VEN239 VEJ143:VEJ239 VEF143:VEF239 VEB143:VEB239 VDX143:VDX239 VDT143:VDT239 VDP143:VDP239 VDL143:VDL239 VDH143:VDH239 VDD143:VDD239 VCZ143:VCZ239 VCV143:VCV239 VCR143:VCR239 VCN143:VCN239 VCJ143:VCJ239 VCF143:VCF239 VCB143:VCB239 VBX143:VBX239 VBT143:VBT239 VBP143:VBP239 VBL143:VBL239 VBH143:VBH239 VBD143:VBD239 VAZ143:VAZ239 VAV143:VAV239 VAR143:VAR239 VAN143:VAN239 VAJ143:VAJ239 VAF143:VAF239 VAB143:VAB239 UZX143:UZX239 UZT143:UZT239 UZP143:UZP239 UZL143:UZL239 UZH143:UZH239 UZD143:UZD239 UYZ143:UYZ239 UYV143:UYV239 UYR143:UYR239 UYN143:UYN239 UYJ143:UYJ239 UYF143:UYF239 UYB143:UYB239 UXX143:UXX239 UXT143:UXT239 UXP143:UXP239 UXL143:UXL239 UXH143:UXH239 UXD143:UXD239 UWZ143:UWZ239 UWV143:UWV239 UWR143:UWR239 UWN143:UWN239 UWJ143:UWJ239 UWF143:UWF239 UWB143:UWB239 UVX143:UVX239 UVT143:UVT239 UVP143:UVP239 UVL143:UVL239 UVH143:UVH239 UVD143:UVD239 UUZ143:UUZ239 UUV143:UUV239 UUR143:UUR239 UUN143:UUN239 UUJ143:UUJ239 UUF143:UUF239 UUB143:UUB239 UTX143:UTX239 UTT143:UTT239 UTP143:UTP239 UTL143:UTL239 UTH143:UTH239 UTD143:UTD239 USZ143:USZ239 USV143:USV239 USR143:USR239 USN143:USN239 USJ143:USJ239 USF143:USF239 USB143:USB239 URX143:URX239 URT143:URT239 URP143:URP239 URL143:URL239 URH143:URH239 URD143:URD239 UQZ143:UQZ239 UQV143:UQV239 UQR143:UQR239 UQN143:UQN239 UQJ143:UQJ239 UQF143:UQF239 UQB143:UQB239 UPX143:UPX239 UPT143:UPT239 UPP143:UPP239 UPL143:UPL239 UPH143:UPH239 UPD143:UPD239 UOZ143:UOZ239 UOV143:UOV239 UOR143:UOR239 UON143:UON239 UOJ143:UOJ239 UOF143:UOF239 UOB143:UOB239 UNX143:UNX239 UNT143:UNT239 UNP143:UNP239 UNL143:UNL239 UNH143:UNH239 UND143:UND239 UMZ143:UMZ239 UMV143:UMV239 UMR143:UMR239 UMN143:UMN239 UMJ143:UMJ239 UMF143:UMF239 UMB143:UMB239 ULX143:ULX239 ULT143:ULT239 ULP143:ULP239 ULL143:ULL239 ULH143:ULH239 ULD143:ULD239 UKZ143:UKZ239 UKV143:UKV239 UKR143:UKR239 UKN143:UKN239 UKJ143:UKJ239 UKF143:UKF239 UKB143:UKB239 UJX143:UJX239 UJT143:UJT239 UJP143:UJP239 UJL143:UJL239 UJH143:UJH239 UJD143:UJD239 UIZ143:UIZ239 UIV143:UIV239 UIR143:UIR239 UIN143:UIN239 UIJ143:UIJ239 UIF143:UIF239 UIB143:UIB239 UHX143:UHX239 UHT143:UHT239 UHP143:UHP239 UHL143:UHL239 UHH143:UHH239 UHD143:UHD239 UGZ143:UGZ239 UGV143:UGV239 UGR143:UGR239 UGN143:UGN239 UGJ143:UGJ239 UGF143:UGF239 UGB143:UGB239 UFX143:UFX239 UFT143:UFT239 UFP143:UFP239 UFL143:UFL239 UFH143:UFH239 UFD143:UFD239 UEZ143:UEZ239 UEV143:UEV239 UER143:UER239 UEN143:UEN239 UEJ143:UEJ239 UEF143:UEF239 UEB143:UEB239 UDX143:UDX239 UDT143:UDT239 UDP143:UDP239 UDL143:UDL239 UDH143:UDH239 UDD143:UDD239 UCZ143:UCZ239 UCV143:UCV239 UCR143:UCR239 UCN143:UCN239 UCJ143:UCJ239 UCF143:UCF239 UCB143:UCB239 UBX143:UBX239 UBT143:UBT239 UBP143:UBP239 UBL143:UBL239 UBH143:UBH239 UBD143:UBD239 UAZ143:UAZ239 UAV143:UAV239 UAR143:UAR239 UAN143:UAN239 UAJ143:UAJ239 UAF143:UAF239 UAB143:UAB239 TZX143:TZX239 TZT143:TZT239 TZP143:TZP239 TZL143:TZL239 TZH143:TZH239 TZD143:TZD239 TYZ143:TYZ239 TYV143:TYV239 TYR143:TYR239 TYN143:TYN239 TYJ143:TYJ239 TYF143:TYF239 TYB143:TYB239 TXX143:TXX239 TXT143:TXT239 TXP143:TXP239 TXL143:TXL239 TXH143:TXH239 TXD143:TXD239 TWZ143:TWZ239 TWV143:TWV239 TWR143:TWR239 TWN143:TWN239 TWJ143:TWJ239 TWF143:TWF239 TWB143:TWB239 TVX143:TVX239 TVT143:TVT239 TVP143:TVP239 TVL143:TVL239 TVH143:TVH239 TVD143:TVD239 TUZ143:TUZ239 TUV143:TUV239 TUR143:TUR239 TUN143:TUN239 TUJ143:TUJ239 TUF143:TUF239 TUB143:TUB239 TTX143:TTX239 TTT143:TTT239 TTP143:TTP239 TTL143:TTL239 TTH143:TTH239 TTD143:TTD239 TSZ143:TSZ239 TSV143:TSV239 TSR143:TSR239 TSN143:TSN239 TSJ143:TSJ239 TSF143:TSF239 TSB143:TSB239 TRX143:TRX239 TRT143:TRT239 TRP143:TRP239 TRL143:TRL239 TRH143:TRH239 TRD143:TRD239 TQZ143:TQZ239 TQV143:TQV239 TQR143:TQR239 TQN143:TQN239 TQJ143:TQJ239 TQF143:TQF239 TQB143:TQB239 TPX143:TPX239 TPT143:TPT239 TPP143:TPP239 TPL143:TPL239 TPH143:TPH239 TPD143:TPD239 TOZ143:TOZ239 TOV143:TOV239 TOR143:TOR239 TON143:TON239 TOJ143:TOJ239 TOF143:TOF239 TOB143:TOB239 TNX143:TNX239 TNT143:TNT239 TNP143:TNP239 TNL143:TNL239 TNH143:TNH239 TND143:TND239 TMZ143:TMZ239 TMV143:TMV239 TMR143:TMR239 TMN143:TMN239 TMJ143:TMJ239 TMF143:TMF239 TMB143:TMB239 TLX143:TLX239 TLT143:TLT239 TLP143:TLP239 TLL143:TLL239 TLH143:TLH239 TLD143:TLD239 TKZ143:TKZ239 TKV143:TKV239 TKR143:TKR239 TKN143:TKN239 TKJ143:TKJ239 TKF143:TKF239 TKB143:TKB239 TJX143:TJX239 TJT143:TJT239 TJP143:TJP239 TJL143:TJL239 TJH143:TJH239 TJD143:TJD239 TIZ143:TIZ239 TIV143:TIV239 TIR143:TIR239 TIN143:TIN239 TIJ143:TIJ239 TIF143:TIF239 TIB143:TIB239 THX143:THX239 THT143:THT239 THP143:THP239 THL143:THL239 THH143:THH239 THD143:THD239 TGZ143:TGZ239 TGV143:TGV239 TGR143:TGR239 TGN143:TGN239 TGJ143:TGJ239 TGF143:TGF239 TGB143:TGB239 TFX143:TFX239 TFT143:TFT239 TFP143:TFP239 TFL143:TFL239 TFH143:TFH239 TFD143:TFD239 TEZ143:TEZ239 TEV143:TEV239 TER143:TER239 TEN143:TEN239 TEJ143:TEJ239 TEF143:TEF239 TEB143:TEB239 TDX143:TDX239 TDT143:TDT239 TDP143:TDP239 TDL143:TDL239 TDH143:TDH239 TDD143:TDD239 TCZ143:TCZ239 TCV143:TCV239 TCR143:TCR239 TCN143:TCN239 TCJ143:TCJ239 TCF143:TCF239 TCB143:TCB239 TBX143:TBX239 TBT143:TBT239 TBP143:TBP239 TBL143:TBL239 TBH143:TBH239 TBD143:TBD239 TAZ143:TAZ239 TAV143:TAV239 TAR143:TAR239 TAN143:TAN239 TAJ143:TAJ239 TAF143:TAF239 TAB143:TAB239 SZX143:SZX239 SZT143:SZT239 SZP143:SZP239 SZL143:SZL239 SZH143:SZH239 SZD143:SZD239 SYZ143:SYZ239 SYV143:SYV239 SYR143:SYR239 SYN143:SYN239 SYJ143:SYJ239 SYF143:SYF239 SYB143:SYB239 SXX143:SXX239 SXT143:SXT239 SXP143:SXP239 SXL143:SXL239 SXH143:SXH239 SXD143:SXD239 SWZ143:SWZ239 SWV143:SWV239 SWR143:SWR239 SWN143:SWN239 SWJ143:SWJ239 SWF143:SWF239 SWB143:SWB239 SVX143:SVX239 SVT143:SVT239 SVP143:SVP239 SVL143:SVL239 SVH143:SVH239 SVD143:SVD239 SUZ143:SUZ239 SUV143:SUV239 SUR143:SUR239 SUN143:SUN239 SUJ143:SUJ239 SUF143:SUF239 SUB143:SUB239 STX143:STX239 STT143:STT239 STP143:STP239 STL143:STL239 STH143:STH239 STD143:STD239 SSZ143:SSZ239 SSV143:SSV239 SSR143:SSR239 SSN143:SSN239 SSJ143:SSJ239 SSF143:SSF239 SSB143:SSB239 SRX143:SRX239 SRT143:SRT239 SRP143:SRP239 SRL143:SRL239 SRH143:SRH239 SRD143:SRD239 SQZ143:SQZ239 SQV143:SQV239 SQR143:SQR239 SQN143:SQN239 SQJ143:SQJ239 SQF143:SQF239 SQB143:SQB239 SPX143:SPX239 SPT143:SPT239 SPP143:SPP239 SPL143:SPL239 SPH143:SPH239 SPD143:SPD239 SOZ143:SOZ239 SOV143:SOV239 SOR143:SOR239 SON143:SON239 SOJ143:SOJ239 SOF143:SOF239 SOB143:SOB239 SNX143:SNX239 SNT143:SNT239 SNP143:SNP239 SNL143:SNL239 SNH143:SNH239 SND143:SND239 SMZ143:SMZ239 SMV143:SMV239 SMR143:SMR239 SMN143:SMN239 SMJ143:SMJ239 SMF143:SMF239 SMB143:SMB239 SLX143:SLX239 SLT143:SLT239 SLP143:SLP239 SLL143:SLL239 SLH143:SLH239 SLD143:SLD239 SKZ143:SKZ239 SKV143:SKV239 SKR143:SKR239 SKN143:SKN239 SKJ143:SKJ239 SKF143:SKF239 SKB143:SKB239 SJX143:SJX239 SJT143:SJT239 SJP143:SJP239 SJL143:SJL239 SJH143:SJH239 SJD143:SJD239 SIZ143:SIZ239 SIV143:SIV239 SIR143:SIR239 SIN143:SIN239 SIJ143:SIJ239 SIF143:SIF239 SIB143:SIB239 SHX143:SHX239 SHT143:SHT239 SHP143:SHP239 SHL143:SHL239 SHH143:SHH239 SHD143:SHD239 SGZ143:SGZ239 SGV143:SGV239 SGR143:SGR239 SGN143:SGN239 SGJ143:SGJ239 SGF143:SGF239 SGB143:SGB239 SFX143:SFX239 SFT143:SFT239 SFP143:SFP239 SFL143:SFL239 SFH143:SFH239 SFD143:SFD239 SEZ143:SEZ239 SEV143:SEV239 SER143:SER239 SEN143:SEN239 SEJ143:SEJ239 SEF143:SEF239 SEB143:SEB239 SDX143:SDX239 SDT143:SDT239 SDP143:SDP239 SDL143:SDL239 SDH143:SDH239 SDD143:SDD239 SCZ143:SCZ239 SCV143:SCV239 SCR143:SCR239 SCN143:SCN239 SCJ143:SCJ239 SCF143:SCF239 SCB143:SCB239 SBX143:SBX239 SBT143:SBT239 SBP143:SBP239 SBL143:SBL239 SBH143:SBH239 SBD143:SBD239 SAZ143:SAZ239 SAV143:SAV239 SAR143:SAR239 SAN143:SAN239 SAJ143:SAJ239 SAF143:SAF239 SAB143:SAB239 RZX143:RZX239 RZT143:RZT239 RZP143:RZP239 RZL143:RZL239 RZH143:RZH239 RZD143:RZD239 RYZ143:RYZ239 RYV143:RYV239 RYR143:RYR239 RYN143:RYN239 RYJ143:RYJ239 RYF143:RYF239 RYB143:RYB239 RXX143:RXX239 RXT143:RXT239 RXP143:RXP239 RXL143:RXL239 RXH143:RXH239 RXD143:RXD239 RWZ143:RWZ239 RWV143:RWV239 RWR143:RWR239 RWN143:RWN239 RWJ143:RWJ239 RWF143:RWF239 RWB143:RWB239 RVX143:RVX239 RVT143:RVT239 RVP143:RVP239 RVL143:RVL239 RVH143:RVH239 RVD143:RVD239 RUZ143:RUZ239 RUV143:RUV239 RUR143:RUR239 RUN143:RUN239 RUJ143:RUJ239 RUF143:RUF239 RUB143:RUB239 RTX143:RTX239 RTT143:RTT239 RTP143:RTP239 RTL143:RTL239 RTH143:RTH239 RTD143:RTD239 RSZ143:RSZ239 RSV143:RSV239 RSR143:RSR239 RSN143:RSN239 RSJ143:RSJ239 RSF143:RSF239 RSB143:RSB239 RRX143:RRX239 RRT143:RRT239 RRP143:RRP239 RRL143:RRL239 RRH143:RRH239 RRD143:RRD239 RQZ143:RQZ239 RQV143:RQV239 RQR143:RQR239 RQN143:RQN239 RQJ143:RQJ239 RQF143:RQF239 RQB143:RQB239 RPX143:RPX239 RPT143:RPT239 RPP143:RPP239 RPL143:RPL239 RPH143:RPH239 RPD143:RPD239 ROZ143:ROZ239 ROV143:ROV239 ROR143:ROR239 RON143:RON239 ROJ143:ROJ239 ROF143:ROF239 ROB143:ROB239 RNX143:RNX239 RNT143:RNT239 RNP143:RNP239 RNL143:RNL239 RNH143:RNH239 RND143:RND239 RMZ143:RMZ239 RMV143:RMV239 RMR143:RMR239 RMN143:RMN239 RMJ143:RMJ239 RMF143:RMF239 RMB143:RMB239 RLX143:RLX239 RLT143:RLT239 RLP143:RLP239 RLL143:RLL239 RLH143:RLH239 RLD143:RLD239 RKZ143:RKZ239 RKV143:RKV239 RKR143:RKR239 RKN143:RKN239 RKJ143:RKJ239 RKF143:RKF239 RKB143:RKB239 RJX143:RJX239 RJT143:RJT239 RJP143:RJP239 RJL143:RJL239 RJH143:RJH239 RJD143:RJD239 RIZ143:RIZ239 RIV143:RIV239 RIR143:RIR239 RIN143:RIN239 RIJ143:RIJ239 RIF143:RIF239 RIB143:RIB239 RHX143:RHX239 RHT143:RHT239 RHP143:RHP239 RHL143:RHL239 RHH143:RHH239 RHD143:RHD239 RGZ143:RGZ239 RGV143:RGV239 RGR143:RGR239 RGN143:RGN239 RGJ143:RGJ239 RGF143:RGF239 RGB143:RGB239 RFX143:RFX239 RFT143:RFT239 RFP143:RFP239 RFL143:RFL239 RFH143:RFH239 RFD143:RFD239 REZ143:REZ239 REV143:REV239 RER143:RER239 REN143:REN239 REJ143:REJ239 REF143:REF239 REB143:REB239 RDX143:RDX239 RDT143:RDT239 RDP143:RDP239 RDL143:RDL239 RDH143:RDH239 RDD143:RDD239 RCZ143:RCZ239 RCV143:RCV239 RCR143:RCR239 RCN143:RCN239 RCJ143:RCJ239 RCF143:RCF239 RCB143:RCB239 RBX143:RBX239 RBT143:RBT239 RBP143:RBP239 RBL143:RBL239 RBH143:RBH239 RBD143:RBD239 RAZ143:RAZ239 RAV143:RAV239 RAR143:RAR239 RAN143:RAN239 RAJ143:RAJ239 RAF143:RAF239 RAB143:RAB239 QZX143:QZX239 QZT143:QZT239 QZP143:QZP239 QZL143:QZL239 QZH143:QZH239 QZD143:QZD239 QYZ143:QYZ239 QYV143:QYV239 QYR143:QYR239 QYN143:QYN239 QYJ143:QYJ239 QYF143:QYF239 QYB143:QYB239 QXX143:QXX239 QXT143:QXT239 QXP143:QXP239 QXL143:QXL239 QXH143:QXH239 QXD143:QXD239 QWZ143:QWZ239 QWV143:QWV239 QWR143:QWR239 QWN143:QWN239 QWJ143:QWJ239 QWF143:QWF239 QWB143:QWB239 QVX143:QVX239 QVT143:QVT239 QVP143:QVP239 QVL143:QVL239 QVH143:QVH239 QVD143:QVD239 QUZ143:QUZ239 QUV143:QUV239 QUR143:QUR239 QUN143:QUN239 QUJ143:QUJ239 QUF143:QUF239 QUB143:QUB239 QTX143:QTX239 QTT143:QTT239 QTP143:QTP239 QTL143:QTL239 QTH143:QTH239 QTD143:QTD239 QSZ143:QSZ239 QSV143:QSV239 QSR143:QSR239 QSN143:QSN239 QSJ143:QSJ239 QSF143:QSF239 QSB143:QSB239 QRX143:QRX239 QRT143:QRT239 QRP143:QRP239 QRL143:QRL239 QRH143:QRH239 QRD143:QRD239 QQZ143:QQZ239 QQV143:QQV239 QQR143:QQR239 QQN143:QQN239 QQJ143:QQJ239 QQF143:QQF239 QQB143:QQB239 QPX143:QPX239 QPT143:QPT239 QPP143:QPP239 QPL143:QPL239 QPH143:QPH239 QPD143:QPD239 QOZ143:QOZ239 QOV143:QOV239 QOR143:QOR239 QON143:QON239 QOJ143:QOJ239 QOF143:QOF239 QOB143:QOB239 QNX143:QNX239 QNT143:QNT239 QNP143:QNP239 QNL143:QNL239 QNH143:QNH239 QND143:QND239 QMZ143:QMZ239 QMV143:QMV239 QMR143:QMR239 QMN143:QMN239 QMJ143:QMJ239 QMF143:QMF239 QMB143:QMB239 QLX143:QLX239 QLT143:QLT239 QLP143:QLP239 QLL143:QLL239 QLH143:QLH239 QLD143:QLD239 QKZ143:QKZ239 QKV143:QKV239 QKR143:QKR239 QKN143:QKN239 QKJ143:QKJ239 QKF143:QKF239 QKB143:QKB239 QJX143:QJX239 QJT143:QJT239 QJP143:QJP239 QJL143:QJL239 QJH143:QJH239 QJD143:QJD239 QIZ143:QIZ239 QIV143:QIV239 QIR143:QIR239 QIN143:QIN239 QIJ143:QIJ239 QIF143:QIF239 QIB143:QIB239 QHX143:QHX239 QHT143:QHT239 QHP143:QHP239 QHL143:QHL239 QHH143:QHH239 QHD143:QHD239 QGZ143:QGZ239 QGV143:QGV239 QGR143:QGR239 QGN143:QGN239 QGJ143:QGJ239 QGF143:QGF239 QGB143:QGB239 QFX143:QFX239 QFT143:QFT239 QFP143:QFP239 QFL143:QFL239 QFH143:QFH239 QFD143:QFD239 QEZ143:QEZ239 QEV143:QEV239 QER143:QER239 QEN143:QEN239 QEJ143:QEJ239 QEF143:QEF239 QEB143:QEB239 QDX143:QDX239 QDT143:QDT239 QDP143:QDP239 QDL143:QDL239 QDH143:QDH239 QDD143:QDD239 QCZ143:QCZ239 QCV143:QCV239 QCR143:QCR239 QCN143:QCN239 QCJ143:QCJ239 QCF143:QCF239 QCB143:QCB239 QBX143:QBX239 QBT143:QBT239 QBP143:QBP239 QBL143:QBL239 QBH143:QBH239 QBD143:QBD239 QAZ143:QAZ239 QAV143:QAV239 QAR143:QAR239 QAN143:QAN239 QAJ143:QAJ239 QAF143:QAF239 QAB143:QAB239 PZX143:PZX239 PZT143:PZT239 PZP143:PZP239 PZL143:PZL239 PZH143:PZH239 PZD143:PZD239 PYZ143:PYZ239 PYV143:PYV239 PYR143:PYR239 PYN143:PYN239 PYJ143:PYJ239 PYF143:PYF239 PYB143:PYB239 PXX143:PXX239 PXT143:PXT239 PXP143:PXP239 PXL143:PXL239 PXH143:PXH239 PXD143:PXD239 PWZ143:PWZ239 PWV143:PWV239 PWR143:PWR239 PWN143:PWN239 PWJ143:PWJ239 PWF143:PWF239 PWB143:PWB239 PVX143:PVX239 PVT143:PVT239 PVP143:PVP239 PVL143:PVL239 PVH143:PVH239 PVD143:PVD239 PUZ143:PUZ239 PUV143:PUV239 PUR143:PUR239 PUN143:PUN239 PUJ143:PUJ239 PUF143:PUF239 PUB143:PUB239 PTX143:PTX239 PTT143:PTT239 PTP143:PTP239 PTL143:PTL239 PTH143:PTH239 PTD143:PTD239 PSZ143:PSZ239 PSV143:PSV239 PSR143:PSR239 PSN143:PSN239 PSJ143:PSJ239 PSF143:PSF239 PSB143:PSB239 PRX143:PRX239 PRT143:PRT239 PRP143:PRP239 PRL143:PRL239 PRH143:PRH239 PRD143:PRD239 PQZ143:PQZ239 PQV143:PQV239 PQR143:PQR239 PQN143:PQN239 PQJ143:PQJ239 PQF143:PQF239 PQB143:PQB239 PPX143:PPX239 PPT143:PPT239 PPP143:PPP239 PPL143:PPL239 PPH143:PPH239 PPD143:PPD239 POZ143:POZ239 POV143:POV239 POR143:POR239 PON143:PON239 POJ143:POJ239 POF143:POF239 POB143:POB239 PNX143:PNX239 PNT143:PNT239 PNP143:PNP239 PNL143:PNL239 PNH143:PNH239 PND143:PND239 PMZ143:PMZ239 PMV143:PMV239 PMR143:PMR239 PMN143:PMN239 PMJ143:PMJ239 PMF143:PMF239 PMB143:PMB239 PLX143:PLX239 PLT143:PLT239 PLP143:PLP239 PLL143:PLL239 PLH143:PLH239 PLD143:PLD239 PKZ143:PKZ239 PKV143:PKV239 PKR143:PKR239 PKN143:PKN239 PKJ143:PKJ239 PKF143:PKF239 PKB143:PKB239 PJX143:PJX239 PJT143:PJT239 PJP143:PJP239 PJL143:PJL239 PJH143:PJH239 PJD143:PJD239 PIZ143:PIZ239 PIV143:PIV239 PIR143:PIR239 PIN143:PIN239 PIJ143:PIJ239 PIF143:PIF239 PIB143:PIB239 PHX143:PHX239 PHT143:PHT239 PHP143:PHP239 PHL143:PHL239 PHH143:PHH239 PHD143:PHD239 PGZ143:PGZ239 PGV143:PGV239 PGR143:PGR239 PGN143:PGN239 PGJ143:PGJ239 PGF143:PGF239 PGB143:PGB239 PFX143:PFX239 PFT143:PFT239 PFP143:PFP239 PFL143:PFL239 PFH143:PFH239 PFD143:PFD239 PEZ143:PEZ239 PEV143:PEV239 PER143:PER239 PEN143:PEN239 PEJ143:PEJ239 PEF143:PEF239 PEB143:PEB239 PDX143:PDX239 PDT143:PDT239 PDP143:PDP239 PDL143:PDL239 PDH143:PDH239 PDD143:PDD239 PCZ143:PCZ239 PCV143:PCV239 PCR143:PCR239 PCN143:PCN239 PCJ143:PCJ239 PCF143:PCF239 PCB143:PCB239 PBX143:PBX239 PBT143:PBT239 PBP143:PBP239 PBL143:PBL239 PBH143:PBH239 PBD143:PBD239 PAZ143:PAZ239 PAV143:PAV239 PAR143:PAR239 PAN143:PAN239 PAJ143:PAJ239 PAF143:PAF239 PAB143:PAB239 OZX143:OZX239 OZT143:OZT239 OZP143:OZP239 OZL143:OZL239 OZH143:OZH239 OZD143:OZD239 OYZ143:OYZ239 OYV143:OYV239 OYR143:OYR239 OYN143:OYN239 OYJ143:OYJ239 OYF143:OYF239 OYB143:OYB239 OXX143:OXX239 OXT143:OXT239 OXP143:OXP239 OXL143:OXL239 OXH143:OXH239 OXD143:OXD239 OWZ143:OWZ239 OWV143:OWV239 OWR143:OWR239 OWN143:OWN239 OWJ143:OWJ239 OWF143:OWF239 OWB143:OWB239 OVX143:OVX239 OVT143:OVT239 OVP143:OVP239 OVL143:OVL239 OVH143:OVH239 OVD143:OVD239 OUZ143:OUZ239 OUV143:OUV239 OUR143:OUR239 OUN143:OUN239 OUJ143:OUJ239 OUF143:OUF239 OUB143:OUB239 OTX143:OTX239 OTT143:OTT239 OTP143:OTP239 OTL143:OTL239 OTH143:OTH239 OTD143:OTD239 OSZ143:OSZ239 OSV143:OSV239 OSR143:OSR239 OSN143:OSN239 OSJ143:OSJ239 OSF143:OSF239 OSB143:OSB239 ORX143:ORX239 ORT143:ORT239 ORP143:ORP239 ORL143:ORL239 ORH143:ORH239 ORD143:ORD239 OQZ143:OQZ239 OQV143:OQV239 OQR143:OQR239 OQN143:OQN239 OQJ143:OQJ239 OQF143:OQF239 OQB143:OQB239 OPX143:OPX239 OPT143:OPT239 OPP143:OPP239 OPL143:OPL239 OPH143:OPH239 OPD143:OPD239 OOZ143:OOZ239 OOV143:OOV239 OOR143:OOR239 OON143:OON239 OOJ143:OOJ239 OOF143:OOF239 OOB143:OOB239 ONX143:ONX239 ONT143:ONT239 ONP143:ONP239 ONL143:ONL239 ONH143:ONH239 OND143:OND239 OMZ143:OMZ239 OMV143:OMV239 OMR143:OMR239 OMN143:OMN239 OMJ143:OMJ239 OMF143:OMF239 OMB143:OMB239 OLX143:OLX239 OLT143:OLT239 OLP143:OLP239 OLL143:OLL239 OLH143:OLH239 OLD143:OLD239 OKZ143:OKZ239 OKV143:OKV239 OKR143:OKR239 OKN143:OKN239 OKJ143:OKJ239 OKF143:OKF239 OKB143:OKB239 OJX143:OJX239 OJT143:OJT239 OJP143:OJP239 OJL143:OJL239 OJH143:OJH239 OJD143:OJD239 OIZ143:OIZ239 OIV143:OIV239 OIR143:OIR239 OIN143:OIN239 OIJ143:OIJ239 OIF143:OIF239 OIB143:OIB239 OHX143:OHX239 OHT143:OHT239 OHP143:OHP239 OHL143:OHL239 OHH143:OHH239 OHD143:OHD239 OGZ143:OGZ239 OGV143:OGV239 OGR143:OGR239 OGN143:OGN239 OGJ143:OGJ239 OGF143:OGF239 OGB143:OGB239 OFX143:OFX239 OFT143:OFT239 OFP143:OFP239 OFL143:OFL239 OFH143:OFH239 OFD143:OFD239 OEZ143:OEZ239 OEV143:OEV239 OER143:OER239 OEN143:OEN239 OEJ143:OEJ239 OEF143:OEF239 OEB143:OEB239 ODX143:ODX239 ODT143:ODT239 ODP143:ODP239 ODL143:ODL239 ODH143:ODH239 ODD143:ODD239 OCZ143:OCZ239 OCV143:OCV239 OCR143:OCR239 OCN143:OCN239 OCJ143:OCJ239 OCF143:OCF239 OCB143:OCB239 OBX143:OBX239 OBT143:OBT239 OBP143:OBP239 OBL143:OBL239 OBH143:OBH239 OBD143:OBD239 OAZ143:OAZ239 OAV143:OAV239 OAR143:OAR239 OAN143:OAN239 OAJ143:OAJ239 OAF143:OAF239 OAB143:OAB239 NZX143:NZX239 NZT143:NZT239 NZP143:NZP239 NZL143:NZL239 NZH143:NZH239 NZD143:NZD239 NYZ143:NYZ239 NYV143:NYV239 NYR143:NYR239 NYN143:NYN239 NYJ143:NYJ239 NYF143:NYF239 NYB143:NYB239 NXX143:NXX239 NXT143:NXT239 NXP143:NXP239 NXL143:NXL239 NXH143:NXH239 NXD143:NXD239 NWZ143:NWZ239 NWV143:NWV239 NWR143:NWR239 NWN143:NWN239 NWJ143:NWJ239 NWF143:NWF239 NWB143:NWB239 NVX143:NVX239 NVT143:NVT239 NVP143:NVP239 NVL143:NVL239 NVH143:NVH239 NVD143:NVD239 NUZ143:NUZ239 NUV143:NUV239 NUR143:NUR239 NUN143:NUN239 NUJ143:NUJ239 NUF143:NUF239 NUB143:NUB239 NTX143:NTX239 NTT143:NTT239 NTP143:NTP239 NTL143:NTL239 NTH143:NTH239 NTD143:NTD239 NSZ143:NSZ239 NSV143:NSV239 NSR143:NSR239 NSN143:NSN239 NSJ143:NSJ239 NSF143:NSF239 NSB143:NSB239 NRX143:NRX239 NRT143:NRT239 NRP143:NRP239 NRL143:NRL239 NRH143:NRH239 NRD143:NRD239 NQZ143:NQZ239 NQV143:NQV239 NQR143:NQR239 NQN143:NQN239 NQJ143:NQJ239 NQF143:NQF239 NQB143:NQB239 NPX143:NPX239 NPT143:NPT239 NPP143:NPP239 NPL143:NPL239 NPH143:NPH239 NPD143:NPD239 NOZ143:NOZ239 NOV143:NOV239 NOR143:NOR239 NON143:NON239 NOJ143:NOJ239 NOF143:NOF239 NOB143:NOB239 NNX143:NNX239 NNT143:NNT239 NNP143:NNP239 NNL143:NNL239 NNH143:NNH239 NND143:NND239 NMZ143:NMZ239 NMV143:NMV239 NMR143:NMR239 NMN143:NMN239 NMJ143:NMJ239 NMF143:NMF239 NMB143:NMB239 NLX143:NLX239 NLT143:NLT239 NLP143:NLP239 NLL143:NLL239 NLH143:NLH239 NLD143:NLD239 NKZ143:NKZ239 NKV143:NKV239 NKR143:NKR239 NKN143:NKN239 NKJ143:NKJ239 NKF143:NKF239 NKB143:NKB239 NJX143:NJX239 NJT143:NJT239 NJP143:NJP239 NJL143:NJL239 NJH143:NJH239 NJD143:NJD239 NIZ143:NIZ239 NIV143:NIV239 NIR143:NIR239 NIN143:NIN239 NIJ143:NIJ239 NIF143:NIF239 NIB143:NIB239 NHX143:NHX239 NHT143:NHT239 NHP143:NHP239 NHL143:NHL239 NHH143:NHH239 NHD143:NHD239 NGZ143:NGZ239 NGV143:NGV239 NGR143:NGR239 NGN143:NGN239 NGJ143:NGJ239 NGF143:NGF239 NGB143:NGB239 NFX143:NFX239 NFT143:NFT239 NFP143:NFP239 NFL143:NFL239 NFH143:NFH239 NFD143:NFD239 NEZ143:NEZ239 NEV143:NEV239 NER143:NER239 NEN143:NEN239 NEJ143:NEJ239 NEF143:NEF239 NEB143:NEB239 NDX143:NDX239 NDT143:NDT239 NDP143:NDP239 NDL143:NDL239 NDH143:NDH239 NDD143:NDD239 NCZ143:NCZ239 NCV143:NCV239 NCR143:NCR239 NCN143:NCN239 NCJ143:NCJ239 NCF143:NCF239 NCB143:NCB239 NBX143:NBX239 NBT143:NBT239 NBP143:NBP239 NBL143:NBL239 NBH143:NBH239 NBD143:NBD239 NAZ143:NAZ239 NAV143:NAV239 NAR143:NAR239 NAN143:NAN239 NAJ143:NAJ239 NAF143:NAF239 NAB143:NAB239 MZX143:MZX239 MZT143:MZT239 MZP143:MZP239 MZL143:MZL239 MZH143:MZH239 MZD143:MZD239 MYZ143:MYZ239 MYV143:MYV239 MYR143:MYR239 MYN143:MYN239 MYJ143:MYJ239 MYF143:MYF239 MYB143:MYB239 MXX143:MXX239 MXT143:MXT239 MXP143:MXP239 MXL143:MXL239 MXH143:MXH239 MXD143:MXD239 MWZ143:MWZ239 MWV143:MWV239 MWR143:MWR239 MWN143:MWN239 MWJ143:MWJ239 MWF143:MWF239 MWB143:MWB239 MVX143:MVX239 MVT143:MVT239 MVP143:MVP239 MVL143:MVL239 MVH143:MVH239 MVD143:MVD239 MUZ143:MUZ239 MUV143:MUV239 MUR143:MUR239 MUN143:MUN239 MUJ143:MUJ239 MUF143:MUF239 MUB143:MUB239 MTX143:MTX239 MTT143:MTT239 MTP143:MTP239 MTL143:MTL239 MTH143:MTH239 MTD143:MTD239 MSZ143:MSZ239 MSV143:MSV239 MSR143:MSR239 MSN143:MSN239 MSJ143:MSJ239 MSF143:MSF239 MSB143:MSB239 MRX143:MRX239 MRT143:MRT239 MRP143:MRP239 MRL143:MRL239 MRH143:MRH239 MRD143:MRD239 MQZ143:MQZ239 MQV143:MQV239 MQR143:MQR239 MQN143:MQN239 MQJ143:MQJ239 MQF143:MQF239 MQB143:MQB239 MPX143:MPX239 MPT143:MPT239 MPP143:MPP239 MPL143:MPL239 MPH143:MPH239 MPD143:MPD239 MOZ143:MOZ239 MOV143:MOV239 MOR143:MOR239 MON143:MON239 MOJ143:MOJ239 MOF143:MOF239 MOB143:MOB239 MNX143:MNX239 MNT143:MNT239 MNP143:MNP239 MNL143:MNL239 MNH143:MNH239 MND143:MND239 MMZ143:MMZ239 MMV143:MMV239 MMR143:MMR239 MMN143:MMN239 MMJ143:MMJ239 MMF143:MMF239 MMB143:MMB239 MLX143:MLX239 MLT143:MLT239 MLP143:MLP239 MLL143:MLL239 MLH143:MLH239 MLD143:MLD239 MKZ143:MKZ239 MKV143:MKV239 MKR143:MKR239 MKN143:MKN239 MKJ143:MKJ239 MKF143:MKF239 MKB143:MKB239 MJX143:MJX239 MJT143:MJT239 MJP143:MJP239 MJL143:MJL239 MJH143:MJH239 MJD143:MJD239 MIZ143:MIZ239 MIV143:MIV239 MIR143:MIR239 MIN143:MIN239 MIJ143:MIJ239 MIF143:MIF239 MIB143:MIB239 MHX143:MHX239 MHT143:MHT239 MHP143:MHP239 MHL143:MHL239 MHH143:MHH239 MHD143:MHD239 MGZ143:MGZ239 MGV143:MGV239 MGR143:MGR239 MGN143:MGN239 MGJ143:MGJ239 MGF143:MGF239 MGB143:MGB239 MFX143:MFX239 MFT143:MFT239 MFP143:MFP239 MFL143:MFL239 MFH143:MFH239 MFD143:MFD239 MEZ143:MEZ239 MEV143:MEV239 MER143:MER239 MEN143:MEN239 MEJ143:MEJ239 MEF143:MEF239 MEB143:MEB239 MDX143:MDX239 MDT143:MDT239 MDP143:MDP239 MDL143:MDL239 MDH143:MDH239 MDD143:MDD239 MCZ143:MCZ239 MCV143:MCV239 MCR143:MCR239 MCN143:MCN239 MCJ143:MCJ239 MCF143:MCF239 MCB143:MCB239 MBX143:MBX239 MBT143:MBT239 MBP143:MBP239 MBL143:MBL239 MBH143:MBH239 MBD143:MBD239 MAZ143:MAZ239 MAV143:MAV239 MAR143:MAR239 MAN143:MAN239 MAJ143:MAJ239 MAF143:MAF239 MAB143:MAB239 LZX143:LZX239 LZT143:LZT239 LZP143:LZP239 LZL143:LZL239 LZH143:LZH239 LZD143:LZD239 LYZ143:LYZ239 LYV143:LYV239 LYR143:LYR239 LYN143:LYN239 LYJ143:LYJ239 LYF143:LYF239 LYB143:LYB239 LXX143:LXX239 LXT143:LXT239 LXP143:LXP239 LXL143:LXL239 LXH143:LXH239 LXD143:LXD239 LWZ143:LWZ239 LWV143:LWV239 LWR143:LWR239 LWN143:LWN239 LWJ143:LWJ239 LWF143:LWF239 LWB143:LWB239 LVX143:LVX239 LVT143:LVT239 LVP143:LVP239 LVL143:LVL239 LVH143:LVH239 LVD143:LVD239 LUZ143:LUZ239 LUV143:LUV239 LUR143:LUR239 LUN143:LUN239 LUJ143:LUJ239 LUF143:LUF239 LUB143:LUB239 LTX143:LTX239 LTT143:LTT239 LTP143:LTP239 LTL143:LTL239 LTH143:LTH239 LTD143:LTD239 LSZ143:LSZ239 LSV143:LSV239 LSR143:LSR239 LSN143:LSN239 LSJ143:LSJ239 LSF143:LSF239 LSB143:LSB239 LRX143:LRX239 LRT143:LRT239 LRP143:LRP239 LRL143:LRL239 LRH143:LRH239 LRD143:LRD239 LQZ143:LQZ239 LQV143:LQV239 LQR143:LQR239 LQN143:LQN239 LQJ143:LQJ239 LQF143:LQF239 LQB143:LQB239 LPX143:LPX239 LPT143:LPT239 LPP143:LPP239 LPL143:LPL239 LPH143:LPH239 LPD143:LPD239 LOZ143:LOZ239 LOV143:LOV239 LOR143:LOR239 LON143:LON239 LOJ143:LOJ239 LOF143:LOF239 LOB143:LOB239 LNX143:LNX239 LNT143:LNT239 LNP143:LNP239 LNL143:LNL239 LNH143:LNH239 LND143:LND239 LMZ143:LMZ239 LMV143:LMV239 LMR143:LMR239 LMN143:LMN239 LMJ143:LMJ239 LMF143:LMF239 LMB143:LMB239 LLX143:LLX239 LLT143:LLT239 LLP143:LLP239 LLL143:LLL239 LLH143:LLH239 LLD143:LLD239 LKZ143:LKZ239 LKV143:LKV239 LKR143:LKR239 LKN143:LKN239 LKJ143:LKJ239 LKF143:LKF239 LKB143:LKB239 LJX143:LJX239 LJT143:LJT239 LJP143:LJP239 LJL143:LJL239 LJH143:LJH239 LJD143:LJD239 LIZ143:LIZ239 LIV143:LIV239 LIR143:LIR239 LIN143:LIN239 LIJ143:LIJ239 LIF143:LIF239 LIB143:LIB239 LHX143:LHX239 LHT143:LHT239 LHP143:LHP239 LHL143:LHL239 LHH143:LHH239 LHD143:LHD239 LGZ143:LGZ239 LGV143:LGV239 LGR143:LGR239 LGN143:LGN239 LGJ143:LGJ239 LGF143:LGF239 LGB143:LGB239 LFX143:LFX239 LFT143:LFT239 LFP143:LFP239 LFL143:LFL239 LFH143:LFH239 LFD143:LFD239 LEZ143:LEZ239 LEV143:LEV239 LER143:LER239 LEN143:LEN239 LEJ143:LEJ239 LEF143:LEF239 LEB143:LEB239 LDX143:LDX239 LDT143:LDT239 LDP143:LDP239 LDL143:LDL239 LDH143:LDH239 LDD143:LDD239 LCZ143:LCZ239 LCV143:LCV239 LCR143:LCR239 LCN143:LCN239 LCJ143:LCJ239 LCF143:LCF239 LCB143:LCB239 LBX143:LBX239 LBT143:LBT239 LBP143:LBP239 LBL143:LBL239 LBH143:LBH239 LBD143:LBD239 LAZ143:LAZ239 LAV143:LAV239 LAR143:LAR239 LAN143:LAN239 LAJ143:LAJ239 LAF143:LAF239 LAB143:LAB239 KZX143:KZX239 KZT143:KZT239 KZP143:KZP239 KZL143:KZL239 KZH143:KZH239 KZD143:KZD239 KYZ143:KYZ239 KYV143:KYV239 KYR143:KYR239 KYN143:KYN239 KYJ143:KYJ239 KYF143:KYF239 KYB143:KYB239 KXX143:KXX239 KXT143:KXT239 KXP143:KXP239 KXL143:KXL239 KXH143:KXH239 KXD143:KXD239 KWZ143:KWZ239 KWV143:KWV239 KWR143:KWR239 KWN143:KWN239 KWJ143:KWJ239 KWF143:KWF239 KWB143:KWB239 KVX143:KVX239 KVT143:KVT239 KVP143:KVP239 KVL143:KVL239 KVH143:KVH239 KVD143:KVD239 KUZ143:KUZ239 KUV143:KUV239 KUR143:KUR239 KUN143:KUN239 KUJ143:KUJ239 KUF143:KUF239 KUB143:KUB239 KTX143:KTX239 KTT143:KTT239 KTP143:KTP239 KTL143:KTL239 KTH143:KTH239 KTD143:KTD239 KSZ143:KSZ239 KSV143:KSV239 KSR143:KSR239 KSN143:KSN239 KSJ143:KSJ239 KSF143:KSF239 KSB143:KSB239 KRX143:KRX239 KRT143:KRT239 KRP143:KRP239 KRL143:KRL239 KRH143:KRH239 KRD143:KRD239 KQZ143:KQZ239 KQV143:KQV239 KQR143:KQR239 KQN143:KQN239 KQJ143:KQJ239 KQF143:KQF239 KQB143:KQB239 KPX143:KPX239 KPT143:KPT239 KPP143:KPP239 KPL143:KPL239 KPH143:KPH239 KPD143:KPD239 KOZ143:KOZ239 KOV143:KOV239 KOR143:KOR239 KON143:KON239 KOJ143:KOJ239 KOF143:KOF239 KOB143:KOB239 KNX143:KNX239 KNT143:KNT239 KNP143:KNP239 KNL143:KNL239 KNH143:KNH239 KND143:KND239 KMZ143:KMZ239 KMV143:KMV239 KMR143:KMR239 KMN143:KMN239 KMJ143:KMJ239 KMF143:KMF239 KMB143:KMB239 KLX143:KLX239 KLT143:KLT239 KLP143:KLP239 KLL143:KLL239 KLH143:KLH239 KLD143:KLD239 KKZ143:KKZ239 KKV143:KKV239 KKR143:KKR239 KKN143:KKN239 KKJ143:KKJ239 KKF143:KKF239 KKB143:KKB239 KJX143:KJX239 KJT143:KJT239 KJP143:KJP239 KJL143:KJL239 KJH143:KJH239 KJD143:KJD239 KIZ143:KIZ239 KIV143:KIV239 KIR143:KIR239 KIN143:KIN239 KIJ143:KIJ239 KIF143:KIF239 KIB143:KIB239 KHX143:KHX239 KHT143:KHT239 KHP143:KHP239 KHL143:KHL239 KHH143:KHH239 KHD143:KHD239 KGZ143:KGZ239 KGV143:KGV239 KGR143:KGR239 KGN143:KGN239 KGJ143:KGJ239 KGF143:KGF239 KGB143:KGB239 KFX143:KFX239 KFT143:KFT239 KFP143:KFP239 KFL143:KFL239 KFH143:KFH239 KFD143:KFD239 KEZ143:KEZ239 KEV143:KEV239 KER143:KER239 KEN143:KEN239 KEJ143:KEJ239 KEF143:KEF239 KEB143:KEB239 KDX143:KDX239 KDT143:KDT239 KDP143:KDP239 KDL143:KDL239 KDH143:KDH239 KDD143:KDD239 KCZ143:KCZ239 KCV143:KCV239 KCR143:KCR239 KCN143:KCN239 KCJ143:KCJ239 KCF143:KCF239 KCB143:KCB239 KBX143:KBX239 KBT143:KBT239 KBP143:KBP239 KBL143:KBL239 KBH143:KBH239 KBD143:KBD239 KAZ143:KAZ239 KAV143:KAV239 KAR143:KAR239 KAN143:KAN239 KAJ143:KAJ239 KAF143:KAF239 KAB143:KAB239 JZX143:JZX239 JZT143:JZT239 JZP143:JZP239 JZL143:JZL239 JZH143:JZH239 JZD143:JZD239 JYZ143:JYZ239 JYV143:JYV239 JYR143:JYR239 JYN143:JYN239 JYJ143:JYJ239 JYF143:JYF239 JYB143:JYB239 JXX143:JXX239 JXT143:JXT239 JXP143:JXP239 JXL143:JXL239 JXH143:JXH239 JXD143:JXD239 JWZ143:JWZ239 JWV143:JWV239 JWR143:JWR239 JWN143:JWN239 JWJ143:JWJ239 JWF143:JWF239 JWB143:JWB239 JVX143:JVX239 JVT143:JVT239 JVP143:JVP239 JVL143:JVL239 JVH143:JVH239 JVD143:JVD239 JUZ143:JUZ239 JUV143:JUV239 JUR143:JUR239 JUN143:JUN239 JUJ143:JUJ239 JUF143:JUF239 JUB143:JUB239 JTX143:JTX239 JTT143:JTT239 JTP143:JTP239 JTL143:JTL239 JTH143:JTH239 JTD143:JTD239 JSZ143:JSZ239 JSV143:JSV239 JSR143:JSR239 JSN143:JSN239 JSJ143:JSJ239 JSF143:JSF239 JSB143:JSB239 JRX143:JRX239 JRT143:JRT239 JRP143:JRP239 JRL143:JRL239 JRH143:JRH239 JRD143:JRD239 JQZ143:JQZ239 JQV143:JQV239 JQR143:JQR239 JQN143:JQN239 JQJ143:JQJ239 JQF143:JQF239 JQB143:JQB239 JPX143:JPX239 JPT143:JPT239 JPP143:JPP239 JPL143:JPL239 JPH143:JPH239 JPD143:JPD239 JOZ143:JOZ239 JOV143:JOV239 JOR143:JOR239 JON143:JON239 JOJ143:JOJ239 JOF143:JOF239 JOB143:JOB239 JNX143:JNX239 JNT143:JNT239 JNP143:JNP239 JNL143:JNL239 JNH143:JNH239 JND143:JND239 JMZ143:JMZ239 JMV143:JMV239 JMR143:JMR239 JMN143:JMN239 JMJ143:JMJ239 JMF143:JMF239 JMB143:JMB239 JLX143:JLX239 JLT143:JLT239 JLP143:JLP239 JLL143:JLL239 JLH143:JLH239 JLD143:JLD239 JKZ143:JKZ239 JKV143:JKV239 JKR143:JKR239 JKN143:JKN239 JKJ143:JKJ239 JKF143:JKF239 JKB143:JKB239 JJX143:JJX239 JJT143:JJT239 JJP143:JJP239 JJL143:JJL239 JJH143:JJH239 JJD143:JJD239 JIZ143:JIZ239 JIV143:JIV239 JIR143:JIR239 JIN143:JIN239 JIJ143:JIJ239 JIF143:JIF239 JIB143:JIB239 JHX143:JHX239 JHT143:JHT239 JHP143:JHP239 JHL143:JHL239 JHH143:JHH239 JHD143:JHD239 JGZ143:JGZ239 JGV143:JGV239 JGR143:JGR239 JGN143:JGN239 JGJ143:JGJ239 JGF143:JGF239 JGB143:JGB239 JFX143:JFX239 JFT143:JFT239 JFP143:JFP239 JFL143:JFL239 JFH143:JFH239 JFD143:JFD239 JEZ143:JEZ239 JEV143:JEV239 JER143:JER239 JEN143:JEN239 JEJ143:JEJ239 JEF143:JEF239 JEB143:JEB239 JDX143:JDX239 JDT143:JDT239 JDP143:JDP239 JDL143:JDL239 JDH143:JDH239 JDD143:JDD239 JCZ143:JCZ239 JCV143:JCV239 JCR143:JCR239 JCN143:JCN239 JCJ143:JCJ239 JCF143:JCF239 JCB143:JCB239 JBX143:JBX239 JBT143:JBT239 JBP143:JBP239 JBL143:JBL239 JBH143:JBH239 JBD143:JBD239 JAZ143:JAZ239 JAV143:JAV239 JAR143:JAR239 JAN143:JAN239 JAJ143:JAJ239 JAF143:JAF239 JAB143:JAB239 IZX143:IZX239 IZT143:IZT239 IZP143:IZP239 IZL143:IZL239 IZH143:IZH239 IZD143:IZD239 IYZ143:IYZ239 IYV143:IYV239 IYR143:IYR239 IYN143:IYN239 IYJ143:IYJ239 IYF143:IYF239 IYB143:IYB239 IXX143:IXX239 IXT143:IXT239 IXP143:IXP239 IXL143:IXL239 IXH143:IXH239 IXD143:IXD239 IWZ143:IWZ239 IWV143:IWV239 IWR143:IWR239 IWN143:IWN239 IWJ143:IWJ239 IWF143:IWF239 IWB143:IWB239 IVX143:IVX239 IVT143:IVT239 IVP143:IVP239 IVL143:IVL239 IVH143:IVH239 IVD143:IVD239 IUZ143:IUZ239 IUV143:IUV239 IUR143:IUR239 IUN143:IUN239 IUJ143:IUJ239 IUF143:IUF239 IUB143:IUB239 ITX143:ITX239 ITT143:ITT239 ITP143:ITP239 ITL143:ITL239 ITH143:ITH239 ITD143:ITD239 ISZ143:ISZ239 ISV143:ISV239 ISR143:ISR239 ISN143:ISN239 ISJ143:ISJ239 ISF143:ISF239 ISB143:ISB239 IRX143:IRX239 IRT143:IRT239 IRP143:IRP239 IRL143:IRL239 IRH143:IRH239 IRD143:IRD239 IQZ143:IQZ239 IQV143:IQV239 IQR143:IQR239 IQN143:IQN239 IQJ143:IQJ239 IQF143:IQF239 IQB143:IQB239 IPX143:IPX239 IPT143:IPT239 IPP143:IPP239 IPL143:IPL239 IPH143:IPH239 IPD143:IPD239 IOZ143:IOZ239 IOV143:IOV239 IOR143:IOR239 ION143:ION239 IOJ143:IOJ239 IOF143:IOF239 IOB143:IOB239 INX143:INX239 INT143:INT239 INP143:INP239 INL143:INL239 INH143:INH239 IND143:IND239 IMZ143:IMZ239 IMV143:IMV239 IMR143:IMR239 IMN143:IMN239 IMJ143:IMJ239 IMF143:IMF239 IMB143:IMB239 ILX143:ILX239 ILT143:ILT239 ILP143:ILP239 ILL143:ILL239 ILH143:ILH239 ILD143:ILD239 IKZ143:IKZ239 IKV143:IKV239 IKR143:IKR239 IKN143:IKN239 IKJ143:IKJ239 IKF143:IKF239 IKB143:IKB239 IJX143:IJX239 IJT143:IJT239 IJP143:IJP239 IJL143:IJL239 IJH143:IJH239 IJD143:IJD239 IIZ143:IIZ239 IIV143:IIV239 IIR143:IIR239 IIN143:IIN239 IIJ143:IIJ239 IIF143:IIF239 IIB143:IIB239 IHX143:IHX239 IHT143:IHT239 IHP143:IHP239 IHL143:IHL239 IHH143:IHH239 IHD143:IHD239 IGZ143:IGZ239 IGV143:IGV239 IGR143:IGR239 IGN143:IGN239 IGJ143:IGJ239 IGF143:IGF239 IGB143:IGB239 IFX143:IFX239 IFT143:IFT239 IFP143:IFP239 IFL143:IFL239 IFH143:IFH239 IFD143:IFD239 IEZ143:IEZ239 IEV143:IEV239 IER143:IER239 IEN143:IEN239 IEJ143:IEJ239 IEF143:IEF239 IEB143:IEB239 IDX143:IDX239 IDT143:IDT239 IDP143:IDP239 IDL143:IDL239 IDH143:IDH239 IDD143:IDD239 ICZ143:ICZ239 ICV143:ICV239 ICR143:ICR239 ICN143:ICN239 ICJ143:ICJ239 ICF143:ICF239 ICB143:ICB239 IBX143:IBX239 IBT143:IBT239 IBP143:IBP239 IBL143:IBL239 IBH143:IBH239 IBD143:IBD239 IAZ143:IAZ239 IAV143:IAV239 IAR143:IAR239 IAN143:IAN239 IAJ143:IAJ239 IAF143:IAF239 IAB143:IAB239 HZX143:HZX239 HZT143:HZT239 HZP143:HZP239 HZL143:HZL239 HZH143:HZH239 HZD143:HZD239 HYZ143:HYZ239 HYV143:HYV239 HYR143:HYR239 HYN143:HYN239 HYJ143:HYJ239 HYF143:HYF239 HYB143:HYB239 HXX143:HXX239 HXT143:HXT239 HXP143:HXP239 HXL143:HXL239 HXH143:HXH239 HXD143:HXD239 HWZ143:HWZ239 HWV143:HWV239 HWR143:HWR239 HWN143:HWN239 HWJ143:HWJ239 HWF143:HWF239 HWB143:HWB239 HVX143:HVX239 HVT143:HVT239 HVP143:HVP239 HVL143:HVL239 HVH143:HVH239 HVD143:HVD239 HUZ143:HUZ239 HUV143:HUV239 HUR143:HUR239 HUN143:HUN239 HUJ143:HUJ239 HUF143:HUF239 HUB143:HUB239 HTX143:HTX239 HTT143:HTT239 HTP143:HTP239 HTL143:HTL239 HTH143:HTH239 HTD143:HTD239 HSZ143:HSZ239 HSV143:HSV239 HSR143:HSR239 HSN143:HSN239 HSJ143:HSJ239 HSF143:HSF239 HSB143:HSB239 HRX143:HRX239 HRT143:HRT239 HRP143:HRP239 HRL143:HRL239 HRH143:HRH239 HRD143:HRD239 HQZ143:HQZ239 HQV143:HQV239 HQR143:HQR239 HQN143:HQN239 HQJ143:HQJ239 HQF143:HQF239 HQB143:HQB239 HPX143:HPX239 HPT143:HPT239 HPP143:HPP239 HPL143:HPL239 HPH143:HPH239 HPD143:HPD239 HOZ143:HOZ239 HOV143:HOV239 HOR143:HOR239 HON143:HON239 HOJ143:HOJ239 HOF143:HOF239 HOB143:HOB239 HNX143:HNX239 HNT143:HNT239 HNP143:HNP239 HNL143:HNL239 HNH143:HNH239 HND143:HND239 HMZ143:HMZ239 HMV143:HMV239 HMR143:HMR239 HMN143:HMN239 HMJ143:HMJ239 HMF143:HMF239 HMB143:HMB239 HLX143:HLX239 HLT143:HLT239 HLP143:HLP239 HLL143:HLL239 HLH143:HLH239 HLD143:HLD239 HKZ143:HKZ239 HKV143:HKV239 HKR143:HKR239 HKN143:HKN239 HKJ143:HKJ239 HKF143:HKF239 HKB143:HKB239 HJX143:HJX239 HJT143:HJT239 HJP143:HJP239 HJL143:HJL239 HJH143:HJH239 HJD143:HJD239 HIZ143:HIZ239 HIV143:HIV239 HIR143:HIR239 HIN143:HIN239 HIJ143:HIJ239 HIF143:HIF239 HIB143:HIB239 HHX143:HHX239 HHT143:HHT239 HHP143:HHP239 HHL143:HHL239 HHH143:HHH239 HHD143:HHD239 HGZ143:HGZ239 HGV143:HGV239 HGR143:HGR239 HGN143:HGN239 HGJ143:HGJ239 HGF143:HGF239 HGB143:HGB239 HFX143:HFX239 HFT143:HFT239 HFP143:HFP239 HFL143:HFL239 HFH143:HFH239 HFD143:HFD239 HEZ143:HEZ239 HEV143:HEV239 HER143:HER239 HEN143:HEN239 HEJ143:HEJ239 HEF143:HEF239 HEB143:HEB239 HDX143:HDX239 HDT143:HDT239 HDP143:HDP239 HDL143:HDL239 HDH143:HDH239 HDD143:HDD239 HCZ143:HCZ239 HCV143:HCV239 HCR143:HCR239 HCN143:HCN239 HCJ143:HCJ239 HCF143:HCF239 HCB143:HCB239 HBX143:HBX239 HBT143:HBT239 HBP143:HBP239 HBL143:HBL239 HBH143:HBH239 HBD143:HBD239 HAZ143:HAZ239 HAV143:HAV239 HAR143:HAR239 HAN143:HAN239 HAJ143:HAJ239 HAF143:HAF239 HAB143:HAB239 GZX143:GZX239 GZT143:GZT239 GZP143:GZP239 GZL143:GZL239 GZH143:GZH239 GZD143:GZD239 GYZ143:GYZ239 GYV143:GYV239 GYR143:GYR239 GYN143:GYN239 GYJ143:GYJ239 GYF143:GYF239 GYB143:GYB239 GXX143:GXX239 GXT143:GXT239 GXP143:GXP239 GXL143:GXL239 GXH143:GXH239 GXD143:GXD239 GWZ143:GWZ239 GWV143:GWV239 GWR143:GWR239 GWN143:GWN239 GWJ143:GWJ239 GWF143:GWF239 GWB143:GWB239 GVX143:GVX239 GVT143:GVT239 GVP143:GVP239 GVL143:GVL239 GVH143:GVH239 GVD143:GVD239 GUZ143:GUZ239 GUV143:GUV239 GUR143:GUR239 GUN143:GUN239 GUJ143:GUJ239 GUF143:GUF239 GUB143:GUB239 GTX143:GTX239 GTT143:GTT239 GTP143:GTP239 GTL143:GTL239 GTH143:GTH239 GTD143:GTD239 GSZ143:GSZ239 GSV143:GSV239 GSR143:GSR239 GSN143:GSN239 GSJ143:GSJ239 GSF143:GSF239 GSB143:GSB239 GRX143:GRX239 GRT143:GRT239 GRP143:GRP239 GRL143:GRL239 GRH143:GRH239 GRD143:GRD239 GQZ143:GQZ239 GQV143:GQV239 GQR143:GQR239 GQN143:GQN239 GQJ143:GQJ239 GQF143:GQF239 GQB143:GQB239 GPX143:GPX239 GPT143:GPT239 GPP143:GPP239 GPL143:GPL239 GPH143:GPH239 GPD143:GPD239 GOZ143:GOZ239 GOV143:GOV239 GOR143:GOR239 GON143:GON239 GOJ143:GOJ239 GOF143:GOF239 GOB143:GOB239 GNX143:GNX239 GNT143:GNT239 GNP143:GNP239 GNL143:GNL239 GNH143:GNH239 GND143:GND239 GMZ143:GMZ239 GMV143:GMV239 GMR143:GMR239 GMN143:GMN239 GMJ143:GMJ239 GMF143:GMF239 GMB143:GMB239 GLX143:GLX239 GLT143:GLT239 GLP143:GLP239 GLL143:GLL239 GLH143:GLH239 GLD143:GLD239 GKZ143:GKZ239 GKV143:GKV239 GKR143:GKR239 GKN143:GKN239 GKJ143:GKJ239 GKF143:GKF239 GKB143:GKB239 GJX143:GJX239 GJT143:GJT239 GJP143:GJP239 GJL143:GJL239 GJH143:GJH239 GJD143:GJD239 GIZ143:GIZ239 GIV143:GIV239 GIR143:GIR239 GIN143:GIN239 GIJ143:GIJ239 GIF143:GIF239 GIB143:GIB239 GHX143:GHX239 GHT143:GHT239 GHP143:GHP239 GHL143:GHL239 GHH143:GHH239 GHD143:GHD239 GGZ143:GGZ239 GGV143:GGV239 GGR143:GGR239 GGN143:GGN239 GGJ143:GGJ239 GGF143:GGF239 GGB143:GGB239 GFX143:GFX239 GFT143:GFT239 GFP143:GFP239 GFL143:GFL239 GFH143:GFH239 GFD143:GFD239 GEZ143:GEZ239 GEV143:GEV239 GER143:GER239 GEN143:GEN239 GEJ143:GEJ239 GEF143:GEF239 GEB143:GEB239 GDX143:GDX239 GDT143:GDT239 GDP143:GDP239 GDL143:GDL239 GDH143:GDH239 GDD143:GDD239 GCZ143:GCZ239 GCV143:GCV239 GCR143:GCR239 GCN143:GCN239 GCJ143:GCJ239 GCF143:GCF239 GCB143:GCB239 GBX143:GBX239 GBT143:GBT239 GBP143:GBP239 GBL143:GBL239 GBH143:GBH239 GBD143:GBD239 GAZ143:GAZ239 GAV143:GAV239 GAR143:GAR239 GAN143:GAN239 GAJ143:GAJ239 GAF143:GAF239 GAB143:GAB239 FZX143:FZX239 FZT143:FZT239 FZP143:FZP239 FZL143:FZL239 FZH143:FZH239 FZD143:FZD239 FYZ143:FYZ239 FYV143:FYV239 FYR143:FYR239 FYN143:FYN239 FYJ143:FYJ239 FYF143:FYF239 FYB143:FYB239 FXX143:FXX239 FXT143:FXT239 FXP143:FXP239 FXL143:FXL239 FXH143:FXH239 FXD143:FXD239 FWZ143:FWZ239 FWV143:FWV239 FWR143:FWR239 FWN143:FWN239 FWJ143:FWJ239 FWF143:FWF239 FWB143:FWB239 FVX143:FVX239 FVT143:FVT239 FVP143:FVP239 FVL143:FVL239 FVH143:FVH239 FVD143:FVD239 FUZ143:FUZ239 FUV143:FUV239 FUR143:FUR239 FUN143:FUN239 FUJ143:FUJ239 FUF143:FUF239 FUB143:FUB239 FTX143:FTX239 FTT143:FTT239 FTP143:FTP239 FTL143:FTL239 FTH143:FTH239 FTD143:FTD239 FSZ143:FSZ239 FSV143:FSV239 FSR143:FSR239 FSN143:FSN239 FSJ143:FSJ239 FSF143:FSF239 FSB143:FSB239 FRX143:FRX239 FRT143:FRT239 FRP143:FRP239 FRL143:FRL239 FRH143:FRH239 FRD143:FRD239 FQZ143:FQZ239 FQV143:FQV239 FQR143:FQR239 FQN143:FQN239 FQJ143:FQJ239 FQF143:FQF239 FQB143:FQB239 FPX143:FPX239 FPT143:FPT239 FPP143:FPP239 FPL143:FPL239 FPH143:FPH239 FPD143:FPD239 FOZ143:FOZ239 FOV143:FOV239 FOR143:FOR239 FON143:FON239 FOJ143:FOJ239 FOF143:FOF239 FOB143:FOB239 FNX143:FNX239 FNT143:FNT239 FNP143:FNP239 FNL143:FNL239 FNH143:FNH239 FND143:FND239 FMZ143:FMZ239 FMV143:FMV239 FMR143:FMR239 FMN143:FMN239 FMJ143:FMJ239 FMF143:FMF239 FMB143:FMB239 FLX143:FLX239 FLT143:FLT239 FLP143:FLP239 FLL143:FLL239 FLH143:FLH239 FLD143:FLD239 FKZ143:FKZ239 FKV143:FKV239 FKR143:FKR239 FKN143:FKN239 FKJ143:FKJ239 FKF143:FKF239 FKB143:FKB239 FJX143:FJX239 FJT143:FJT239 FJP143:FJP239 FJL143:FJL239 FJH143:FJH239 FJD143:FJD239 FIZ143:FIZ239 FIV143:FIV239 FIR143:FIR239 FIN143:FIN239 FIJ143:FIJ239 FIF143:FIF239 FIB143:FIB239 FHX143:FHX239 FHT143:FHT239 FHP143:FHP239 FHL143:FHL239 FHH143:FHH239 FHD143:FHD239 FGZ143:FGZ239 FGV143:FGV239 FGR143:FGR239 FGN143:FGN239 FGJ143:FGJ239 FGF143:FGF239 FGB143:FGB239 FFX143:FFX239 FFT143:FFT239 FFP143:FFP239 FFL143:FFL239 FFH143:FFH239 FFD143:FFD239 FEZ143:FEZ239 FEV143:FEV239 FER143:FER239 FEN143:FEN239 FEJ143:FEJ239 FEF143:FEF239 FEB143:FEB239 FDX143:FDX239 FDT143:FDT239 FDP143:FDP239 FDL143:FDL239 FDH143:FDH239 FDD143:FDD239 FCZ143:FCZ239 FCV143:FCV239 FCR143:FCR239 FCN143:FCN239 FCJ143:FCJ239 FCF143:FCF239 FCB143:FCB239 FBX143:FBX239 FBT143:FBT239 FBP143:FBP239 FBL143:FBL239 FBH143:FBH239 FBD143:FBD239 FAZ143:FAZ239 FAV143:FAV239 FAR143:FAR239 FAN143:FAN239 FAJ143:FAJ239 FAF143:FAF239 FAB143:FAB239 EZX143:EZX239 EZT143:EZT239 EZP143:EZP239 EZL143:EZL239 EZH143:EZH239 EZD143:EZD239 EYZ143:EYZ239 EYV143:EYV239 EYR143:EYR239 EYN143:EYN239 EYJ143:EYJ239 EYF143:EYF239 EYB143:EYB239 EXX143:EXX239 EXT143:EXT239 EXP143:EXP239 EXL143:EXL239 EXH143:EXH239 EXD143:EXD239 EWZ143:EWZ239 EWV143:EWV239 EWR143:EWR239 EWN143:EWN239 EWJ143:EWJ239 EWF143:EWF239 EWB143:EWB239 EVX143:EVX239 EVT143:EVT239 EVP143:EVP239 EVL143:EVL239 EVH143:EVH239 EVD143:EVD239 EUZ143:EUZ239 EUV143:EUV239 EUR143:EUR239 EUN143:EUN239 EUJ143:EUJ239 EUF143:EUF239 EUB143:EUB239 ETX143:ETX239 ETT143:ETT239 ETP143:ETP239 ETL143:ETL239 ETH143:ETH239 ETD143:ETD239 ESZ143:ESZ239 ESV143:ESV239 ESR143:ESR239 ESN143:ESN239 ESJ143:ESJ239 ESF143:ESF239 ESB143:ESB239 ERX143:ERX239 ERT143:ERT239 ERP143:ERP239 ERL143:ERL239 ERH143:ERH239 ERD143:ERD239 EQZ143:EQZ239 EQV143:EQV239 EQR143:EQR239 EQN143:EQN239 EQJ143:EQJ239 EQF143:EQF239 EQB143:EQB239 EPX143:EPX239 EPT143:EPT239 EPP143:EPP239 EPL143:EPL239 EPH143:EPH239 EPD143:EPD239 EOZ143:EOZ239 EOV143:EOV239 EOR143:EOR239 EON143:EON239 EOJ143:EOJ239 EOF143:EOF239 EOB143:EOB239 ENX143:ENX239 ENT143:ENT239 ENP143:ENP239 ENL143:ENL239 ENH143:ENH239 END143:END239 EMZ143:EMZ239 EMV143:EMV239 EMR143:EMR239 EMN143:EMN239 EMJ143:EMJ239 EMF143:EMF239 EMB143:EMB239 ELX143:ELX239 ELT143:ELT239 ELP143:ELP239 ELL143:ELL239 ELH143:ELH239 ELD143:ELD239 EKZ143:EKZ239 EKV143:EKV239 EKR143:EKR239 EKN143:EKN239 EKJ143:EKJ239 EKF143:EKF239 EKB143:EKB239 EJX143:EJX239 EJT143:EJT239 EJP143:EJP239 EJL143:EJL239 EJH143:EJH239 EJD143:EJD239 EIZ143:EIZ239 EIV143:EIV239 EIR143:EIR239 EIN143:EIN239 EIJ143:EIJ239 EIF143:EIF239 EIB143:EIB239 EHX143:EHX239 EHT143:EHT239 EHP143:EHP239 EHL143:EHL239 EHH143:EHH239 EHD143:EHD239 EGZ143:EGZ239 EGV143:EGV239 EGR143:EGR239 EGN143:EGN239 EGJ143:EGJ239 EGF143:EGF239 EGB143:EGB239 EFX143:EFX239 EFT143:EFT239 EFP143:EFP239 EFL143:EFL239 EFH143:EFH239 EFD143:EFD239 EEZ143:EEZ239 EEV143:EEV239 EER143:EER239 EEN143:EEN239 EEJ143:EEJ239 EEF143:EEF239 EEB143:EEB239 EDX143:EDX239 EDT143:EDT239 EDP143:EDP239 EDL143:EDL239 EDH143:EDH239 EDD143:EDD239 ECZ143:ECZ239 ECV143:ECV239 ECR143:ECR239 ECN143:ECN239 ECJ143:ECJ239 ECF143:ECF239 ECB143:ECB239 EBX143:EBX239 EBT143:EBT239 EBP143:EBP239 EBL143:EBL239 EBH143:EBH239 EBD143:EBD239 EAZ143:EAZ239 EAV143:EAV239 EAR143:EAR239 EAN143:EAN239 EAJ143:EAJ239 EAF143:EAF239 EAB143:EAB239 DZX143:DZX239 DZT143:DZT239 DZP143:DZP239 DZL143:DZL239 DZH143:DZH239 DZD143:DZD239 DYZ143:DYZ239 DYV143:DYV239 DYR143:DYR239 DYN143:DYN239 DYJ143:DYJ239 DYF143:DYF239 DYB143:DYB239 DXX143:DXX239 DXT143:DXT239 DXP143:DXP239 DXL143:DXL239 DXH143:DXH239 DXD143:DXD239 DWZ143:DWZ239 DWV143:DWV239 DWR143:DWR239 DWN143:DWN239 DWJ143:DWJ239 DWF143:DWF239 DWB143:DWB239 DVX143:DVX239 DVT143:DVT239 DVP143:DVP239 DVL143:DVL239 DVH143:DVH239 DVD143:DVD239 DUZ143:DUZ239 DUV143:DUV239 DUR143:DUR239 DUN143:DUN239 DUJ143:DUJ239 DUF143:DUF239 DUB143:DUB239 DTX143:DTX239 DTT143:DTT239 DTP143:DTP239 DTL143:DTL239 DTH143:DTH239 DTD143:DTD239 DSZ143:DSZ239 DSV143:DSV239 DSR143:DSR239 DSN143:DSN239 DSJ143:DSJ239 DSF143:DSF239 DSB143:DSB239 DRX143:DRX239 DRT143:DRT239 DRP143:DRP239 DRL143:DRL239 DRH143:DRH239 DRD143:DRD239 DQZ143:DQZ239 DQV143:DQV239 DQR143:DQR239 DQN143:DQN239 DQJ143:DQJ239 DQF143:DQF239 DQB143:DQB239 DPX143:DPX239 DPT143:DPT239 DPP143:DPP239 DPL143:DPL239 DPH143:DPH239 DPD143:DPD239 DOZ143:DOZ239 DOV143:DOV239 DOR143:DOR239 DON143:DON239 DOJ143:DOJ239 DOF143:DOF239 DOB143:DOB239 DNX143:DNX239 DNT143:DNT239 DNP143:DNP239 DNL143:DNL239 DNH143:DNH239 DND143:DND239 DMZ143:DMZ239 DMV143:DMV239 DMR143:DMR239 DMN143:DMN239 DMJ143:DMJ239 DMF143:DMF239 DMB143:DMB239 DLX143:DLX239 DLT143:DLT239 DLP143:DLP239 DLL143:DLL239 DLH143:DLH239 DLD143:DLD239 DKZ143:DKZ239 DKV143:DKV239 DKR143:DKR239 DKN143:DKN239 DKJ143:DKJ239 DKF143:DKF239 DKB143:DKB239 DJX143:DJX239 DJT143:DJT239 DJP143:DJP239 DJL143:DJL239 DJH143:DJH239 DJD143:DJD239 DIZ143:DIZ239 DIV143:DIV239 DIR143:DIR239 DIN143:DIN239 DIJ143:DIJ239 DIF143:DIF239 DIB143:DIB239 DHX143:DHX239 DHT143:DHT239 DHP143:DHP239 DHL143:DHL239 DHH143:DHH239 DHD143:DHD239 DGZ143:DGZ239 DGV143:DGV239 DGR143:DGR239 DGN143:DGN239 DGJ143:DGJ239 DGF143:DGF239 DGB143:DGB239 DFX143:DFX239 DFT143:DFT239 DFP143:DFP239 DFL143:DFL239 DFH143:DFH239 DFD143:DFD239 DEZ143:DEZ239 DEV143:DEV239 DER143:DER239 DEN143:DEN239 DEJ143:DEJ239 DEF143:DEF239 DEB143:DEB239 DDX143:DDX239 DDT143:DDT239 DDP143:DDP239 DDL143:DDL239 DDH143:DDH239 DDD143:DDD239 DCZ143:DCZ239 DCV143:DCV239 DCR143:DCR239 DCN143:DCN239 DCJ143:DCJ239 DCF143:DCF239 DCB143:DCB239 DBX143:DBX239 DBT143:DBT239 DBP143:DBP239 DBL143:DBL239 DBH143:DBH239 DBD143:DBD239 DAZ143:DAZ239 DAV143:DAV239 DAR143:DAR239 DAN143:DAN239 DAJ143:DAJ239 DAF143:DAF239 DAB143:DAB239 CZX143:CZX239 CZT143:CZT239 CZP143:CZP239 CZL143:CZL239 CZH143:CZH239 CZD143:CZD239 CYZ143:CYZ239 CYV143:CYV239 CYR143:CYR239 CYN143:CYN239 CYJ143:CYJ239 CYF143:CYF239 CYB143:CYB239 CXX143:CXX239 CXT143:CXT239 CXP143:CXP239 CXL143:CXL239 CXH143:CXH239 CXD143:CXD239 CWZ143:CWZ239 CWV143:CWV239 CWR143:CWR239 CWN143:CWN239 CWJ143:CWJ239 CWF143:CWF239 CWB143:CWB239 CVX143:CVX239 CVT143:CVT239 CVP143:CVP239 CVL143:CVL239 CVH143:CVH239 CVD143:CVD239 CUZ143:CUZ239 CUV143:CUV239 CUR143:CUR239 CUN143:CUN239 CUJ143:CUJ239 CUF143:CUF239 CUB143:CUB239 CTX143:CTX239 CTT143:CTT239 CTP143:CTP239 CTL143:CTL239 CTH143:CTH239 CTD143:CTD239 CSZ143:CSZ239 CSV143:CSV239 CSR143:CSR239 CSN143:CSN239 CSJ143:CSJ239 CSF143:CSF239 CSB143:CSB239 CRX143:CRX239 CRT143:CRT239 CRP143:CRP239 CRL143:CRL239 CRH143:CRH239 CRD143:CRD239 CQZ143:CQZ239 CQV143:CQV239 CQR143:CQR239 CQN143:CQN239 CQJ143:CQJ239 CQF143:CQF239 CQB143:CQB239 CPX143:CPX239 CPT143:CPT239 CPP143:CPP239 CPL143:CPL239 CPH143:CPH239 CPD143:CPD239 COZ143:COZ239 COV143:COV239 COR143:COR239 CON143:CON239 COJ143:COJ239 COF143:COF239 COB143:COB239 CNX143:CNX239 CNT143:CNT239 CNP143:CNP239 CNL143:CNL239 CNH143:CNH239 CND143:CND239 CMZ143:CMZ239 CMV143:CMV239 CMR143:CMR239 CMN143:CMN239 CMJ143:CMJ239 CMF143:CMF239 CMB143:CMB239 CLX143:CLX239 CLT143:CLT239 CLP143:CLP239 CLL143:CLL239 CLH143:CLH239 CLD143:CLD239 CKZ143:CKZ239 CKV143:CKV239 CKR143:CKR239 CKN143:CKN239 CKJ143:CKJ239 CKF143:CKF239 CKB143:CKB239 CJX143:CJX239 CJT143:CJT239 CJP143:CJP239 CJL143:CJL239 CJH143:CJH239 CJD143:CJD239 CIZ143:CIZ239 CIV143:CIV239 CIR143:CIR239 CIN143:CIN239 CIJ143:CIJ239 CIF143:CIF239 CIB143:CIB239 CHX143:CHX239 CHT143:CHT239 CHP143:CHP239 CHL143:CHL239 CHH143:CHH239 CHD143:CHD239 CGZ143:CGZ239 CGV143:CGV239 CGR143:CGR239 CGN143:CGN239 CGJ143:CGJ239 CGF143:CGF239 CGB143:CGB239 CFX143:CFX239 CFT143:CFT239 CFP143:CFP239 CFL143:CFL239 CFH143:CFH239 CFD143:CFD239 CEZ143:CEZ239 CEV143:CEV239 CER143:CER239 CEN143:CEN239 CEJ143:CEJ239 CEF143:CEF239 CEB143:CEB239 CDX143:CDX239 CDT143:CDT239 CDP143:CDP239 CDL143:CDL239 CDH143:CDH239 CDD143:CDD239 CCZ143:CCZ239 CCV143:CCV239 CCR143:CCR239 CCN143:CCN239 CCJ143:CCJ239 CCF143:CCF239 CCB143:CCB239 CBX143:CBX239 CBT143:CBT239 CBP143:CBP239 CBL143:CBL239 CBH143:CBH239 CBD143:CBD239 CAZ143:CAZ239 CAV143:CAV239 CAR143:CAR239 CAN143:CAN239 CAJ143:CAJ239 CAF143:CAF239 CAB143:CAB239 BZX143:BZX239 BZT143:BZT239 BZP143:BZP239 BZL143:BZL239 BZH143:BZH239 BZD143:BZD239 BYZ143:BYZ239 BYV143:BYV239 BYR143:BYR239 BYN143:BYN239 BYJ143:BYJ239 BYF143:BYF239 BYB143:BYB239 BXX143:BXX239 BXT143:BXT239 BXP143:BXP239 BXL143:BXL239 BXH143:BXH239 BXD143:BXD239 BWZ143:BWZ239 BWV143:BWV239 BWR143:BWR239 BWN143:BWN239 BWJ143:BWJ239 BWF143:BWF239 BWB143:BWB239 BVX143:BVX239 BVT143:BVT239 BVP143:BVP239 BVL143:BVL239 BVH143:BVH239 BVD143:BVD239 BUZ143:BUZ239 BUV143:BUV239 BUR143:BUR239 BUN143:BUN239 BUJ143:BUJ239 BUF143:BUF239 BUB143:BUB239 BTX143:BTX239 BTT143:BTT239 BTP143:BTP239 BTL143:BTL239 BTH143:BTH239 BTD143:BTD239 BSZ143:BSZ239 BSV143:BSV239 BSR143:BSR239 BSN143:BSN239 BSJ143:BSJ239 BSF143:BSF239 BSB143:BSB239 BRX143:BRX239 BRT143:BRT239 BRP143:BRP239 BRL143:BRL239 BRH143:BRH239 BRD143:BRD239 BQZ143:BQZ239 BQV143:BQV239 BQR143:BQR239 BQN143:BQN239 BQJ143:BQJ239 BQF143:BQF239 BQB143:BQB239 BPX143:BPX239 BPT143:BPT239 BPP143:BPP239 BPL143:BPL239 BPH143:BPH239 BPD143:BPD239 BOZ143:BOZ239 BOV143:BOV239 BOR143:BOR239 BON143:BON239 BOJ143:BOJ239 BOF143:BOF239 BOB143:BOB239 BNX143:BNX239 BNT143:BNT239 BNP143:BNP239 BNL143:BNL239 BNH143:BNH239 BND143:BND239 BMZ143:BMZ239 BMV143:BMV239 BMR143:BMR239 BMN143:BMN239 BMJ143:BMJ239 BMF143:BMF239 BMB143:BMB239 BLX143:BLX239 BLT143:BLT239 BLP143:BLP239 BLL143:BLL239 BLH143:BLH239 BLD143:BLD239 BKZ143:BKZ239 BKV143:BKV239 BKR143:BKR239 BKN143:BKN239 BKJ143:BKJ239 BKF143:BKF239 BKB143:BKB239 BJX143:BJX239 BJT143:BJT239 BJP143:BJP239 BJL143:BJL239 BJH143:BJH239 BJD143:BJD239 BIZ143:BIZ239 BIV143:BIV239 BIR143:BIR239 BIN143:BIN239 BIJ143:BIJ239 BIF143:BIF239 BIB143:BIB239 BHX143:BHX239 BHT143:BHT239 BHP143:BHP239 BHL143:BHL239 BHH143:BHH239 BHD143:BHD239 BGZ143:BGZ239 BGV143:BGV239 BGR143:BGR239 BGN143:BGN239 BGJ143:BGJ239 BGF143:BGF239 BGB143:BGB239 BFX143:BFX239 BFT143:BFT239 BFP143:BFP239 BFL143:BFL239 BFH143:BFH239 BFD143:BFD239 BEZ143:BEZ239 BEV143:BEV239 BER143:BER239 BEN143:BEN239 BEJ143:BEJ239 BEF143:BEF239 BEB143:BEB239 BDX143:BDX239 BDT143:BDT239 BDP143:BDP239 BDL143:BDL239 BDH143:BDH239 BDD143:BDD239 BCZ143:BCZ239 BCV143:BCV239 BCR143:BCR239 BCN143:BCN239 BCJ143:BCJ239 BCF143:BCF239 BCB143:BCB239 BBX143:BBX239 BBT143:BBT239 BBP143:BBP239 BBL143:BBL239 BBH143:BBH239 BBD143:BBD239 BAZ143:BAZ239 BAV143:BAV239 BAR143:BAR239 BAN143:BAN239 BAJ143:BAJ239 BAF143:BAF239 BAB143:BAB239 AZX143:AZX239 AZT143:AZT239 AZP143:AZP239 AZL143:AZL239 AZH143:AZH239 AZD143:AZD239 AYZ143:AYZ239 AYV143:AYV239 AYR143:AYR239 AYN143:AYN239 AYJ143:AYJ239 AYF143:AYF239 AYB143:AYB239 AXX143:AXX239 AXT143:AXT239 AXP143:AXP239 AXL143:AXL239 AXH143:AXH239 AXD143:AXD239 AWZ143:AWZ239 AWV143:AWV239 AWR143:AWR239 AWN143:AWN239 AWJ143:AWJ239 AWF143:AWF239 AWB143:AWB239 AVX143:AVX239 AVT143:AVT239 AVP143:AVP239 AVL143:AVL239 AVH143:AVH239 AVD143:AVD239 AUZ143:AUZ239 AUV143:AUV239 AUR143:AUR239 AUN143:AUN239 AUJ143:AUJ239 AUF143:AUF239 AUB143:AUB239 ATX143:ATX239 ATT143:ATT239 ATP143:ATP239 ATL143:ATL239 ATH143:ATH239 ATD143:ATD239 ASZ143:ASZ239 ASV143:ASV239 ASR143:ASR239 ASN143:ASN239 ASJ143:ASJ239 ASF143:ASF239 ASB143:ASB239 ARX143:ARX239 ART143:ART239 ARP143:ARP239 ARL143:ARL239 ARH143:ARH239 ARD143:ARD239 AQZ143:AQZ239 AQV143:AQV239 AQR143:AQR239 AQN143:AQN239 AQJ143:AQJ239 AQF143:AQF239 AQB143:AQB239 APX143:APX239 APT143:APT239 APP143:APP239 APL143:APL239 APH143:APH239 APD143:APD239 AOZ143:AOZ239 AOV143:AOV239 AOR143:AOR239 AON143:AON239 AOJ143:AOJ239 AOF143:AOF239 AOB143:AOB239 ANX143:ANX239 ANT143:ANT239 ANP143:ANP239 ANL143:ANL239 ANH143:ANH239 AND143:AND239 AMZ143:AMZ239 AMV143:AMV239 AMR143:AMR239 AMN143:AMN239 AMJ143:AMJ239 AMF143:AMF239 AMB143:AMB239 ALX143:ALX239 ALT143:ALT239 ALP143:ALP239 ALL143:ALL239 ALH143:ALH239 ALD143:ALD239 AKZ143:AKZ239 AKV143:AKV239 AKR143:AKR239 AKN143:AKN239 AKJ143:AKJ239 AKF143:AKF239 AKB143:AKB239 AJX143:AJX239 AJT143:AJT239 AJP143:AJP239 AJL143:AJL239 AJH143:AJH239 AJD143:AJD239 AIZ143:AIZ239 AIV143:AIV239 AIR143:AIR239 AIN143:AIN239 AIJ143:AIJ239 AIF143:AIF239 AIB143:AIB239 AHX143:AHX239 AHT143:AHT239 AHP143:AHP239 AHL143:AHL239 AHH143:AHH239 AHD143:AHD239 AGZ143:AGZ239 AGV143:AGV239 AGR143:AGR239 AGN143:AGN239 AGJ143:AGJ239 AGF143:AGF239 AGB143:AGB239 AFX143:AFX239 AFT143:AFT239 AFP143:AFP239 AFL143:AFL239 AFH143:AFH239 AFD143:AFD239 AEZ143:AEZ239 AEV143:AEV239 AER143:AER239 AEN143:AEN239 AEJ143:AEJ239 AEF143:AEF239 AEB143:AEB239 ADX143:ADX239 ADT143:ADT239 ADP143:ADP239 ADL143:ADL239 ADH143:ADH239 ADD143:ADD239 ACZ143:ACZ239 ACV143:ACV239 ACR143:ACR239 ACN143:ACN239 ACJ143:ACJ239 ACF143:ACF239 ACB143:ACB239 ABX143:ABX239 ABT143:ABT239 ABP143:ABP239 ABL143:ABL239 ABH143:ABH239 ABD143:ABD239 AAZ143:AAZ239 AAV143:AAV239 AAR143:AAR239 AAN143:AAN239 AAJ143:AAJ239 AAF143:AAF239 AAB143:AAB239 ZX143:ZX239 ZT143:ZT239 ZP143:ZP239 ZL143:ZL239 ZH143:ZH239 ZD143:ZD239 YZ143:YZ239 YV143:YV239 YR143:YR239 YN143:YN239 YJ143:YJ239 YF143:YF239 YB143:YB239 XX143:XX239 XT143:XT239 XP143:XP239 XL143:XL239 XH143:XH239 XD143:XD239 WZ143:WZ239 WV143:WV239 WR143:WR239 WN143:WN239 WJ143:WJ239 WF143:WF239 WB143:WB239 VX143:VX239 VT143:VT239 VP143:VP239 VL143:VL239 VH143:VH239 VD143:VD239 UZ143:UZ239 UV143:UV239 UR143:UR239 UN143:UN239 UJ143:UJ239 UF143:UF239 UB143:UB239 TX143:TX239 TT143:TT239 TP143:TP239 TL143:TL239 TH143:TH239 TD143:TD239 SZ143:SZ239 SV143:SV239 SR143:SR239 SN143:SN239 SJ143:SJ239 SF143:SF239 SB143:SB239 RX143:RX239 RT143:RT239 RP143:RP239 RL143:RL239 RH143:RH239 RD143:RD239 QZ143:QZ239 QV143:QV239 QR143:QR239 QN143:QN239 QJ143:QJ239 QF143:QF239 QB143:QB239 PX143:PX239 PT143:PT239 PP143:PP239 PL143:PL239 PH143:PH239 PD143:PD239 OZ143:OZ239 OV143:OV239 OR143:OR239 ON143:ON239 OJ143:OJ239 OF143:OF239 OB143:OB239 NX143:NX239 NT143:NT239 NP143:NP239 NL143:NL239 NH143:NH239 ND143:ND239 MZ143:MZ239 MV143:MV239 MR143:MR239 MN143:MN239 MJ143:MJ239 MF143:MF239 MB143:MB239 LX143:LX239 LT143:LT239 LP143:LP239 LL143:LL239 LH143:LH239 LD143:LD239 KZ143:KZ239 KV143:KV239 KR143:KR239 KN143:KN239 KJ143:KJ239 KF143:KF239 KB143:KB239 JX143:JX239 JT143:JT239 JP143:JP239 JL143:JL239 JH143:JH239 JD143:JD239 IZ143:IZ239 IV143:IV239 IR143:IR239 IN143:IN239 IJ143:IJ239 IF143:IF239 IB143:IB239 HX143:HX239 HT143:HT239 HP143:HP239 HL143:HL239 HH143:HH239 HD143:HD239 GZ143:GZ239 GV143:GV239 GR143:GR239 GN143:GN239 GJ143:GJ239 GF143:GF239 GB143:GB239 FX143:FX239 FT143:FT239 FP143:FP239 FL143:FL239 FH143:FH239 FD143:FD239 EZ143:EZ239 EV143:EV239 ER143:ER239 EN143:EN239 EJ143:EJ239 EF143:EF239 EB143:EB239 DX143:DX239 DT143:DT239 DP143:DP239 DL143:DL239 DH143:DH239 DD143:DD239 CZ143:CZ239 CV143:CV239 CR143:CR239 CN143:CN239 CJ143:CJ239 CF143:CF239 CB143:CB239 BX143:BX239 BT143:BT239 BP143:BP239 BL143:BL239 BH143:BH239 BD143:BD239 AZ143:AZ239 AV143:AV239 AR143:AR239 AN143:AN239 AJ143:AJ239 AF143:AF239 AB143:AB239 X143:X239 T143:T239 P143:P239 L143:L239 G8:G239">
    <cfRule type="cellIs" dxfId="82" priority="154" operator="between">
      <formula>63</formula>
      <formula>65</formula>
    </cfRule>
    <cfRule type="cellIs" dxfId="81" priority="155" operator="between">
      <formula>60</formula>
      <formula>63</formula>
    </cfRule>
    <cfRule type="cellIs" dxfId="80" priority="156" operator="between">
      <formula>55</formula>
      <formula>60</formula>
    </cfRule>
    <cfRule type="cellIs" dxfId="79" priority="157" operator="between">
      <formula>50</formula>
      <formula>55</formula>
    </cfRule>
    <cfRule type="cellIs" dxfId="78" priority="158" operator="between">
      <formula>45</formula>
      <formula>50</formula>
    </cfRule>
    <cfRule type="cellIs" dxfId="77" priority="159" operator="between">
      <formula>40</formula>
      <formula>45</formula>
    </cfRule>
    <cfRule type="cellIs" dxfId="76" priority="160" operator="between">
      <formula>30</formula>
      <formula>40</formula>
    </cfRule>
  </conditionalFormatting>
  <conditionalFormatting sqref="C246:D247 C169:D170 C142:D143 C108:D109 C79:D80 C41:D42 C59:D60 C12:D13 C26:D27">
    <cfRule type="expression" dxfId="75" priority="153">
      <formula>#REF!="SUMÁCIA:"</formula>
    </cfRule>
  </conditionalFormatting>
  <conditionalFormatting sqref="C246:D247">
    <cfRule type="expression" dxfId="74" priority="151">
      <formula>$E246="VB"</formula>
    </cfRule>
    <cfRule type="expression" dxfId="73" priority="152">
      <formula>#REF!="SUMÁCIA:"</formula>
    </cfRule>
  </conditionalFormatting>
  <conditionalFormatting sqref="C37:D40 C43:D46">
    <cfRule type="expression" dxfId="72" priority="150">
      <formula>$A37="SUMÁCIA:"</formula>
    </cfRule>
  </conditionalFormatting>
  <conditionalFormatting sqref="C44:D46">
    <cfRule type="expression" dxfId="71" priority="148">
      <formula>$E44="VB"</formula>
    </cfRule>
    <cfRule type="expression" dxfId="70" priority="149">
      <formula>$A44="SUMÁCIA:"</formula>
    </cfRule>
  </conditionalFormatting>
  <conditionalFormatting sqref="C41:D42">
    <cfRule type="expression" dxfId="69" priority="146">
      <formula>$E41="VB"</formula>
    </cfRule>
    <cfRule type="expression" dxfId="68" priority="147">
      <formula>#REF!="SUMÁCIA:"</formula>
    </cfRule>
  </conditionalFormatting>
  <conditionalFormatting sqref="C55:D58 C61:D64">
    <cfRule type="expression" dxfId="67" priority="145">
      <formula>$A55="SUMÁCIA:"</formula>
    </cfRule>
  </conditionalFormatting>
  <conditionalFormatting sqref="C62:D64">
    <cfRule type="expression" dxfId="66" priority="143">
      <formula>$E62="VB"</formula>
    </cfRule>
    <cfRule type="expression" dxfId="65" priority="144">
      <formula>$A62="SUMÁCIA:"</formula>
    </cfRule>
  </conditionalFormatting>
  <conditionalFormatting sqref="C59:D60">
    <cfRule type="expression" dxfId="64" priority="141">
      <formula>$E59="VB"</formula>
    </cfRule>
    <cfRule type="expression" dxfId="63" priority="142">
      <formula>#REF!="SUMÁCIA:"</formula>
    </cfRule>
  </conditionalFormatting>
  <conditionalFormatting sqref="C75:D78 C81:D84">
    <cfRule type="expression" dxfId="62" priority="140">
      <formula>$A75="SUMÁCIA:"</formula>
    </cfRule>
  </conditionalFormatting>
  <conditionalFormatting sqref="C82:D84">
    <cfRule type="expression" dxfId="61" priority="138">
      <formula>$E82="VB"</formula>
    </cfRule>
    <cfRule type="expression" dxfId="60" priority="139">
      <formula>$A82="SUMÁCIA:"</formula>
    </cfRule>
  </conditionalFormatting>
  <conditionalFormatting sqref="C79:D80">
    <cfRule type="expression" dxfId="59" priority="136">
      <formula>$E79="VB"</formula>
    </cfRule>
    <cfRule type="expression" dxfId="58" priority="137">
      <formula>#REF!="SUMÁCIA:"</formula>
    </cfRule>
  </conditionalFormatting>
  <conditionalFormatting sqref="C104:D107 C110:D113">
    <cfRule type="expression" dxfId="57" priority="135">
      <formula>$A104="SUMÁCIA:"</formula>
    </cfRule>
  </conditionalFormatting>
  <conditionalFormatting sqref="C111:D113">
    <cfRule type="expression" dxfId="56" priority="133">
      <formula>$E111="VB"</formula>
    </cfRule>
    <cfRule type="expression" dxfId="55" priority="134">
      <formula>$A111="SUMÁCIA:"</formula>
    </cfRule>
  </conditionalFormatting>
  <conditionalFormatting sqref="C108:D109">
    <cfRule type="expression" dxfId="54" priority="131">
      <formula>$E108="VB"</formula>
    </cfRule>
    <cfRule type="expression" dxfId="53" priority="132">
      <formula>#REF!="SUMÁCIA:"</formula>
    </cfRule>
  </conditionalFormatting>
  <conditionalFormatting sqref="C138:D141 C144:D147">
    <cfRule type="expression" dxfId="52" priority="130">
      <formula>$A138="SUMÁCIA:"</formula>
    </cfRule>
  </conditionalFormatting>
  <conditionalFormatting sqref="C145:D147">
    <cfRule type="expression" dxfId="51" priority="128">
      <formula>$E145="VB"</formula>
    </cfRule>
    <cfRule type="expression" dxfId="50" priority="129">
      <formula>$A145="SUMÁCIA:"</formula>
    </cfRule>
  </conditionalFormatting>
  <conditionalFormatting sqref="C142:D143">
    <cfRule type="expression" dxfId="49" priority="126">
      <formula>$E142="VB"</formula>
    </cfRule>
    <cfRule type="expression" dxfId="48" priority="127">
      <formula>#REF!="SUMÁCIA:"</formula>
    </cfRule>
  </conditionalFormatting>
  <conditionalFormatting sqref="C8:D11">
    <cfRule type="expression" dxfId="47" priority="116">
      <formula>$A8="SUMÁCIA:"</formula>
    </cfRule>
  </conditionalFormatting>
  <conditionalFormatting sqref="C12:D13">
    <cfRule type="expression" dxfId="46" priority="112">
      <formula>$E12="VB"</formula>
    </cfRule>
    <cfRule type="expression" dxfId="45" priority="113">
      <formula>#REF!="SUMÁCIA:"</formula>
    </cfRule>
  </conditionalFormatting>
  <conditionalFormatting sqref="C26:D27">
    <cfRule type="expression" dxfId="44" priority="109">
      <formula>$E26="VB"</formula>
    </cfRule>
    <cfRule type="expression" dxfId="43" priority="110">
      <formula>#REF!="SUMÁCIA:"</formula>
    </cfRule>
  </conditionalFormatting>
  <conditionalFormatting sqref="G3:G239">
    <cfRule type="cellIs" dxfId="42" priority="108" operator="greaterThan">
      <formula>65</formula>
    </cfRule>
  </conditionalFormatting>
  <conditionalFormatting sqref="C165:D168">
    <cfRule type="expression" dxfId="41" priority="106">
      <formula>$A165="SUMÁCIA:"</formula>
    </cfRule>
  </conditionalFormatting>
  <conditionalFormatting sqref="C169:D170">
    <cfRule type="expression" dxfId="40" priority="102">
      <formula>$E169="VB"</formula>
    </cfRule>
    <cfRule type="expression" dxfId="39" priority="103">
      <formula>#REF!="SUMÁCIA:"</formula>
    </cfRule>
  </conditionalFormatting>
  <conditionalFormatting sqref="C187:D188 C202:D203 C217:D218">
    <cfRule type="expression" dxfId="38" priority="101">
      <formula>#REF!="SUMÁCIA:"</formula>
    </cfRule>
  </conditionalFormatting>
  <conditionalFormatting sqref="C187:D188">
    <cfRule type="expression" dxfId="37" priority="99">
      <formula>$E187="VB"</formula>
    </cfRule>
    <cfRule type="expression" dxfId="36" priority="100">
      <formula>#REF!="SUMÁCIA:"</formula>
    </cfRule>
  </conditionalFormatting>
  <conditionalFormatting sqref="C202:D203">
    <cfRule type="expression" dxfId="35" priority="96">
      <formula>$E202="VB"</formula>
    </cfRule>
    <cfRule type="expression" dxfId="34" priority="97">
      <formula>#REF!="SUMÁCIA:"</formula>
    </cfRule>
  </conditionalFormatting>
  <conditionalFormatting sqref="C217:D218">
    <cfRule type="expression" dxfId="33" priority="93">
      <formula>$E217="VB"</formula>
    </cfRule>
    <cfRule type="expression" dxfId="32" priority="94">
      <formula>#REF!="SUMÁCIA:"</formula>
    </cfRule>
  </conditionalFormatting>
  <conditionalFormatting sqref="C232:D233">
    <cfRule type="expression" dxfId="31" priority="92">
      <formula>#REF!="SUMÁCIA:"</formula>
    </cfRule>
  </conditionalFormatting>
  <conditionalFormatting sqref="C232:D233">
    <cfRule type="expression" dxfId="30" priority="90">
      <formula>$E232="VB"</formula>
    </cfRule>
    <cfRule type="expression" dxfId="29" priority="91">
      <formula>#REF!="SUMÁCIA:"</formula>
    </cfRule>
  </conditionalFormatting>
  <conditionalFormatting sqref="Q160:Q162">
    <cfRule type="cellIs" dxfId="28" priority="11" operator="greaterThan">
      <formula>2500</formula>
    </cfRule>
    <cfRule type="cellIs" dxfId="27" priority="12" operator="between">
      <formula>1800</formula>
      <formula>2500</formula>
    </cfRule>
    <cfRule type="cellIs" dxfId="26" priority="13" operator="between">
      <formula>1200</formula>
      <formula>1800</formula>
    </cfRule>
    <cfRule type="cellIs" dxfId="25" priority="14" operator="between">
      <formula>700</formula>
      <formula>1200</formula>
    </cfRule>
    <cfRule type="cellIs" dxfId="24" priority="15" operator="between">
      <formula>350</formula>
      <formula>700</formula>
    </cfRule>
    <cfRule type="cellIs" dxfId="23" priority="16" operator="between">
      <formula>50</formula>
      <formula>350</formula>
    </cfRule>
    <cfRule type="cellIs" dxfId="22" priority="17" operator="between">
      <formula>10</formula>
      <formula>50</formula>
    </cfRule>
    <cfRule type="cellIs" dxfId="21" priority="18" operator="between">
      <formula>1</formula>
      <formula>10</formula>
    </cfRule>
  </conditionalFormatting>
  <conditionalFormatting sqref="Q160:Q162">
    <cfRule type="containsBlanks" dxfId="20" priority="10">
      <formula>LEN(TRIM(Q160))=0</formula>
    </cfRule>
  </conditionalFormatting>
  <conditionalFormatting sqref="Q159">
    <cfRule type="cellIs" dxfId="19" priority="2" operator="greaterThan">
      <formula>2500</formula>
    </cfRule>
    <cfRule type="cellIs" dxfId="18" priority="3" operator="between">
      <formula>1800</formula>
      <formula>2500</formula>
    </cfRule>
    <cfRule type="cellIs" dxfId="17" priority="4" operator="between">
      <formula>1200</formula>
      <formula>1800</formula>
    </cfRule>
    <cfRule type="cellIs" dxfId="16" priority="5" operator="between">
      <formula>700</formula>
      <formula>1200</formula>
    </cfRule>
    <cfRule type="cellIs" dxfId="15" priority="6" operator="between">
      <formula>350</formula>
      <formula>700</formula>
    </cfRule>
    <cfRule type="cellIs" dxfId="14" priority="7" operator="between">
      <formula>50</formula>
      <formula>350</formula>
    </cfRule>
    <cfRule type="cellIs" dxfId="13" priority="8" operator="between">
      <formula>10</formula>
      <formula>50</formula>
    </cfRule>
    <cfRule type="cellIs" dxfId="12" priority="9" operator="between">
      <formula>1</formula>
      <formula>10</formula>
    </cfRule>
  </conditionalFormatting>
  <conditionalFormatting sqref="Q159">
    <cfRule type="containsBlanks" dxfId="11" priority="1">
      <formula>LEN(TRIM(Q159))=0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6" filterMode="1"/>
  <dimension ref="A1:AG35"/>
  <sheetViews>
    <sheetView zoomScale="85" zoomScaleNormal="85" workbookViewId="0">
      <pane xSplit="1" ySplit="2" topLeftCell="B3" activePane="bottomRight" state="frozen"/>
      <selection pane="topRight" activeCell="B1" sqref="B1"/>
      <selection pane="bottomLeft" activeCell="A3" sqref="A3"/>
      <selection pane="bottomRight" activeCell="AE20" sqref="AE20"/>
    </sheetView>
  </sheetViews>
  <sheetFormatPr defaultRowHeight="14.4" x14ac:dyDescent="0.3"/>
  <cols>
    <col min="1" max="1" width="12.88671875" customWidth="1"/>
    <col min="2" max="11" width="8.88671875" style="1" customWidth="1"/>
    <col min="12" max="13" width="8.88671875" style="3" customWidth="1"/>
    <col min="14" max="14" width="8.77734375" style="3" customWidth="1"/>
    <col min="15" max="15" width="8.88671875" style="2" customWidth="1"/>
    <col min="16" max="16" width="7.6640625" style="2" customWidth="1"/>
    <col min="17" max="17" width="8.88671875" style="2" customWidth="1"/>
    <col min="18" max="18" width="8.88671875" style="6" customWidth="1"/>
    <col min="19" max="21" width="10.6640625" style="6" customWidth="1"/>
    <col min="22" max="22" width="10.5546875" style="6" customWidth="1"/>
    <col min="23" max="23" width="10.5546875" style="7" customWidth="1"/>
    <col min="24" max="24" width="10" style="7" customWidth="1"/>
    <col min="25" max="25" width="10.5546875" style="7" customWidth="1"/>
    <col min="26" max="26" width="10.44140625" customWidth="1"/>
    <col min="27" max="27" width="11.44140625" style="8" customWidth="1"/>
    <col min="28" max="28" width="11.109375" style="10" customWidth="1"/>
    <col min="29" max="29" width="10.44140625" style="10" customWidth="1"/>
    <col min="30" max="30" width="10" style="12" customWidth="1"/>
    <col min="31" max="31" width="10.44140625" style="12" customWidth="1"/>
    <col min="32" max="32" width="10.5546875" customWidth="1"/>
    <col min="33" max="33" width="10" customWidth="1"/>
  </cols>
  <sheetData>
    <row r="1" spans="1:33" ht="16.2" thickBot="1" x14ac:dyDescent="0.35">
      <c r="A1" s="48" t="s">
        <v>1</v>
      </c>
      <c r="B1" s="531" t="s">
        <v>2</v>
      </c>
      <c r="C1" s="532"/>
      <c r="D1" s="532"/>
      <c r="E1" s="532"/>
      <c r="F1" s="532"/>
      <c r="G1" s="532"/>
      <c r="H1" s="532"/>
      <c r="I1" s="533"/>
      <c r="J1" s="528" t="s">
        <v>5</v>
      </c>
      <c r="K1" s="529"/>
      <c r="L1" s="530"/>
      <c r="M1" s="534" t="s">
        <v>36</v>
      </c>
      <c r="N1" s="535"/>
      <c r="O1" s="535"/>
      <c r="P1" s="535"/>
      <c r="Q1" s="535"/>
      <c r="R1" s="536"/>
      <c r="S1" s="525" t="s">
        <v>7</v>
      </c>
      <c r="T1" s="526"/>
      <c r="U1" s="527"/>
      <c r="V1" s="443" t="s">
        <v>10</v>
      </c>
      <c r="W1" s="523"/>
      <c r="X1" s="523"/>
      <c r="Y1" s="523"/>
      <c r="Z1" s="523"/>
      <c r="AA1" s="524"/>
      <c r="AB1" s="520" t="s">
        <v>14</v>
      </c>
      <c r="AC1" s="521"/>
      <c r="AD1" s="521"/>
      <c r="AE1" s="521"/>
      <c r="AF1" s="522"/>
    </row>
    <row r="2" spans="1:33" s="38" customFormat="1" ht="29.4" thickBot="1" x14ac:dyDescent="0.35">
      <c r="A2" s="102"/>
      <c r="B2" s="49" t="s">
        <v>3</v>
      </c>
      <c r="C2" s="35" t="s">
        <v>4</v>
      </c>
      <c r="D2" s="35" t="s">
        <v>202</v>
      </c>
      <c r="E2" s="35" t="s">
        <v>201</v>
      </c>
      <c r="F2" s="35" t="s">
        <v>6</v>
      </c>
      <c r="G2" s="35" t="s">
        <v>92</v>
      </c>
      <c r="H2" s="103" t="s">
        <v>118</v>
      </c>
      <c r="I2" s="104" t="s">
        <v>119</v>
      </c>
      <c r="J2" s="307" t="s">
        <v>20</v>
      </c>
      <c r="K2" s="36" t="s">
        <v>21</v>
      </c>
      <c r="L2" s="308" t="s">
        <v>88</v>
      </c>
      <c r="M2" s="120" t="s">
        <v>38</v>
      </c>
      <c r="N2" s="38" t="s">
        <v>536</v>
      </c>
      <c r="O2" s="121" t="s">
        <v>37</v>
      </c>
      <c r="P2" s="121" t="s">
        <v>87</v>
      </c>
      <c r="Q2" s="121" t="s">
        <v>120</v>
      </c>
      <c r="R2" s="122" t="s">
        <v>121</v>
      </c>
      <c r="S2" s="51" t="s">
        <v>8</v>
      </c>
      <c r="T2" s="23" t="s">
        <v>9</v>
      </c>
      <c r="U2" s="51" t="s">
        <v>89</v>
      </c>
      <c r="V2" s="4" t="s">
        <v>11</v>
      </c>
      <c r="W2" s="77" t="s">
        <v>44</v>
      </c>
      <c r="X2" s="5" t="s">
        <v>12</v>
      </c>
      <c r="Y2" s="5" t="s">
        <v>43</v>
      </c>
      <c r="Z2" s="86" t="s">
        <v>96</v>
      </c>
      <c r="AA2" s="123" t="s">
        <v>197</v>
      </c>
      <c r="AB2" s="50" t="s">
        <v>22</v>
      </c>
      <c r="AC2" s="124" t="s">
        <v>122</v>
      </c>
      <c r="AD2" s="9" t="s">
        <v>17</v>
      </c>
      <c r="AE2" s="11" t="s">
        <v>203</v>
      </c>
      <c r="AF2" s="13" t="s">
        <v>18</v>
      </c>
      <c r="AG2" s="37"/>
    </row>
    <row r="3" spans="1:33" s="268" customFormat="1" x14ac:dyDescent="0.3">
      <c r="A3" s="284" t="s">
        <v>23</v>
      </c>
      <c r="B3" s="251">
        <f>MAX('Január-December'!E3:E33)</f>
        <v>8.8000000000000007</v>
      </c>
      <c r="C3" s="250">
        <f>IFERROR(MIN('Január-December'!F3:F33),"")</f>
        <v>-16.100000000000001</v>
      </c>
      <c r="D3" s="250">
        <f>MAX('Január-December'!G3:G33)</f>
        <v>12.9</v>
      </c>
      <c r="E3" s="250">
        <f>MIN('Január-December'!G3:G33)</f>
        <v>1.6999999999999997</v>
      </c>
      <c r="F3" s="250">
        <f>IFERROR(AVERAGE('Január-December'!H3:H33),"")</f>
        <v>-0.66290322580645133</v>
      </c>
      <c r="G3" s="250">
        <f>IFERROR(AVERAGE('Január-December'!I3:I33),"")</f>
        <v>-0.48438071329057869</v>
      </c>
      <c r="H3" s="250">
        <f>MAX('Január-December'!H3:H33)</f>
        <v>7.8000000000000007</v>
      </c>
      <c r="I3" s="252">
        <f>MIN('Január-December'!H3:H33)</f>
        <v>-12.575000000000001</v>
      </c>
      <c r="J3" s="251">
        <f>MAX('Január-December'!J3:J33)</f>
        <v>6.5</v>
      </c>
      <c r="K3" s="250">
        <f>MIN('Január-December'!K3:K33)</f>
        <v>-17.899999999999999</v>
      </c>
      <c r="L3" s="252">
        <f>IFERROR(AVERAGE('Január-December'!L3:L33),"")</f>
        <v>-2.2698151377791174</v>
      </c>
      <c r="M3" s="253">
        <f>MAX('Január-December'!M3:M33)</f>
        <v>98.3</v>
      </c>
      <c r="N3" s="254">
        <f>COUNTIF('Január-December'!M3:M33,"&gt;95")</f>
        <v>13</v>
      </c>
      <c r="O3" s="255">
        <f>MIN('Január-December'!N3:N33)</f>
        <v>53.7</v>
      </c>
      <c r="P3" s="255">
        <f>IFERROR(AVERAGE('Január-December'!O3:O33),"")</f>
        <v>88.004184015394216</v>
      </c>
      <c r="Q3" s="255">
        <f>MAX('Január-December'!O3:O33)</f>
        <v>96.130555555555489</v>
      </c>
      <c r="R3" s="256">
        <f>MIN('Január-December'!O3:O33)</f>
        <v>79.143194444444475</v>
      </c>
      <c r="S3" s="257">
        <f>MAX('Január-December'!P3:P33)</f>
        <v>1025.1057017166499</v>
      </c>
      <c r="T3" s="258">
        <f>MIN('Január-December'!Q3:Q33)</f>
        <v>994.42076346270301</v>
      </c>
      <c r="U3" s="259">
        <f>IFERROR(AVERAGE('Január-December'!R3:R33),"")</f>
        <v>1011.6686943068788</v>
      </c>
      <c r="V3" s="260">
        <f>MAX('Január-December'!S3:S33)</f>
        <v>12.900032062833221</v>
      </c>
      <c r="W3" s="261">
        <f>MAX('Január-December'!T3:T33)</f>
        <v>8.3071635044712231</v>
      </c>
      <c r="X3" s="261">
        <f>IFERROR(AVERAGE('Január-December'!U3:U33),"")</f>
        <v>1.4400640609935584</v>
      </c>
      <c r="Y3" s="261">
        <f>MAX('Január-December'!U3:U33)</f>
        <v>4.8451862888057837</v>
      </c>
      <c r="Z3" s="261">
        <f>MIN('Január-December'!U3:U33)</f>
        <v>0.18673161491223556</v>
      </c>
      <c r="AA3" s="286" t="s">
        <v>232</v>
      </c>
      <c r="AB3" s="262">
        <f>MAX('Január-December'!X3:X33)</f>
        <v>3.6</v>
      </c>
      <c r="AC3" s="263">
        <f>MAX('Január-December'!Y3:Y33)</f>
        <v>14.5</v>
      </c>
      <c r="AD3" s="264">
        <f>SUM('Január-December'!Y3:Y33)</f>
        <v>60.8</v>
      </c>
      <c r="AE3" s="265">
        <f>MAX('Január-December'!Z3:Z33)</f>
        <v>11.5</v>
      </c>
      <c r="AF3" s="266">
        <f>MAX('Január-December'!AA3:AA33)</f>
        <v>12</v>
      </c>
      <c r="AG3" s="267"/>
    </row>
    <row r="4" spans="1:33" s="277" customFormat="1" x14ac:dyDescent="0.3">
      <c r="A4" s="285" t="s">
        <v>24</v>
      </c>
      <c r="B4" s="251">
        <f>MAX('Január-December'!E34:E61)</f>
        <v>12.4</v>
      </c>
      <c r="C4" s="250">
        <f>MIN('Január-December'!F34:F61)</f>
        <v>-15.7</v>
      </c>
      <c r="D4" s="250">
        <f>MAX('Január-December'!G34:G61)</f>
        <v>16.399999999999999</v>
      </c>
      <c r="E4" s="250">
        <f>MIN('Január-December'!G34:G61)</f>
        <v>3</v>
      </c>
      <c r="F4" s="250">
        <f>IFERROR(AVERAGE('Január-December'!H34:H61),"")</f>
        <v>-0.94285714285714284</v>
      </c>
      <c r="G4" s="250">
        <f>IFERROR(AVERAGE('Január-December'!I34:I61),"")</f>
        <v>-0.73213293383907552</v>
      </c>
      <c r="H4" s="250">
        <f>MAX('Január-December'!H34:H61)</f>
        <v>5.2750000000000004</v>
      </c>
      <c r="I4" s="252">
        <f>MIN('Január-December'!H34:H61)</f>
        <v>-11.225</v>
      </c>
      <c r="J4" s="251">
        <f>MAX('Január-December'!J34:J61)</f>
        <v>6.6</v>
      </c>
      <c r="K4" s="250">
        <f>MIN('Január-December'!K34:K61)</f>
        <v>-17.7</v>
      </c>
      <c r="L4" s="252">
        <f>IFERROR(AVERAGE('Január-December'!L34:L61),"")</f>
        <v>-3.0281927434712896</v>
      </c>
      <c r="M4" s="253">
        <f>MAX('Január-December'!M34:M61)</f>
        <v>97.7</v>
      </c>
      <c r="N4" s="254">
        <f>COUNTIF('Január-December'!M34:M61,"&gt;95")</f>
        <v>11</v>
      </c>
      <c r="O4" s="255">
        <f>MIN('Január-December'!N34:N61)</f>
        <v>48</v>
      </c>
      <c r="P4" s="255">
        <f>IFERROR(AVERAGE('Január-December'!O34:O61),"")</f>
        <v>84.963263675744088</v>
      </c>
      <c r="Q4" s="255">
        <f>MAX('Január-December'!O34:O61)</f>
        <v>93.229305555555669</v>
      </c>
      <c r="R4" s="256">
        <f>MIN('Január-December'!O34:O61)</f>
        <v>71.384861111111064</v>
      </c>
      <c r="S4" s="257">
        <f>MAX('Január-December'!P34:P61)</f>
        <v>1038.1897133381001</v>
      </c>
      <c r="T4" s="258">
        <f>MIN('Január-December'!Q34:Q61)</f>
        <v>993.75634244488197</v>
      </c>
      <c r="U4" s="259">
        <f>IFERROR(AVERAGE('Január-December'!R34:R61),"")</f>
        <v>1021.3329230986292</v>
      </c>
      <c r="V4" s="269">
        <f>MAX('Január-December'!S34:S61)</f>
        <v>10.900027091851305</v>
      </c>
      <c r="W4" s="270">
        <f>MAX('Január-December'!T34:T61)</f>
        <v>7.3357325185657363</v>
      </c>
      <c r="X4" s="270">
        <f>IFERROR(AVERAGE('Január-December'!U34:U61),"")</f>
        <v>1.3956108568442602</v>
      </c>
      <c r="Y4" s="270">
        <f>MAX('Január-December'!U34:U61)</f>
        <v>2.9186084446330298</v>
      </c>
      <c r="Z4" s="270">
        <f>MIN('Január-December'!U34:U61)</f>
        <v>0.2121741726758716</v>
      </c>
      <c r="AA4" s="287" t="s">
        <v>240</v>
      </c>
      <c r="AB4" s="271">
        <f>MAX('Január-December'!X34:X61)</f>
        <v>2.4</v>
      </c>
      <c r="AC4" s="272">
        <f>MAX('Január-December'!Y34:Y61)</f>
        <v>13</v>
      </c>
      <c r="AD4" s="273">
        <f>SUM('Január-December'!Y34:Y61)</f>
        <v>65.699999999999989</v>
      </c>
      <c r="AE4" s="274">
        <f>MAX('Január-December'!Z34:Z61)</f>
        <v>19</v>
      </c>
      <c r="AF4" s="275">
        <f>MAX('Január-December'!AA34:AA61)</f>
        <v>26</v>
      </c>
      <c r="AG4" s="276"/>
    </row>
    <row r="5" spans="1:33" s="277" customFormat="1" x14ac:dyDescent="0.3">
      <c r="A5" s="285" t="s">
        <v>25</v>
      </c>
      <c r="B5" s="251">
        <f>MAX('Január-December'!E62:E92)</f>
        <v>21.7</v>
      </c>
      <c r="C5" s="250">
        <f>MIN('Január-December'!F62:F92)</f>
        <v>-9.4</v>
      </c>
      <c r="D5" s="250">
        <f>MAX('Január-December'!G62:G92)</f>
        <v>20.2</v>
      </c>
      <c r="E5" s="250">
        <f>MIN('Január-December'!G62:G92)</f>
        <v>3.6000000000000005</v>
      </c>
      <c r="F5" s="250">
        <f>IFERROR(AVERAGE('Január-December'!H62:H92),"")</f>
        <v>3.0935483870967748</v>
      </c>
      <c r="G5" s="250">
        <f>IFERROR(AVERAGE('Január-December'!I62:I92),"")</f>
        <v>3.2649673886358306</v>
      </c>
      <c r="H5" s="250">
        <f>MAX('Január-December'!H62:H92)</f>
        <v>12.175000000000001</v>
      </c>
      <c r="I5" s="252">
        <f>MIN('Január-December'!H62:H92)</f>
        <v>-2.8499999999999996</v>
      </c>
      <c r="J5" s="251">
        <f>MAX('Január-December'!J62:J92)</f>
        <v>14.3</v>
      </c>
      <c r="K5" s="250">
        <f>MIN('Január-December'!K62:K92)</f>
        <v>-15.646502218047701</v>
      </c>
      <c r="L5" s="252">
        <f>IFERROR(AVERAGE('Január-December'!L62:L92),"")</f>
        <v>-1.3884827217740732</v>
      </c>
      <c r="M5" s="253">
        <f>MAX('Január-December'!M62:M92)</f>
        <v>96.5</v>
      </c>
      <c r="N5" s="254">
        <f>COUNTIF('Január-December'!M62:M92,"&gt;95")</f>
        <v>2</v>
      </c>
      <c r="O5" s="255">
        <f>MIN('Január-December'!N62:N92)</f>
        <v>20</v>
      </c>
      <c r="P5" s="255">
        <f>IFERROR(AVERAGE('Január-December'!O62:O92),"")</f>
        <v>73.65009477857518</v>
      </c>
      <c r="Q5" s="255">
        <f>MAX('Január-December'!O62:O92)</f>
        <v>91.767430555555379</v>
      </c>
      <c r="R5" s="256">
        <f>MIN('Január-December'!O62:O92)</f>
        <v>45.204028670291635</v>
      </c>
      <c r="S5" s="257">
        <f>MAX('Január-December'!P62:P92)</f>
        <v>1036.0531100286501</v>
      </c>
      <c r="T5" s="258">
        <f>MIN('Január-December'!Q62:Q92)</f>
        <v>1003.14100449978</v>
      </c>
      <c r="U5" s="259">
        <f>IFERROR(AVERAGE('Január-December'!R62:R92),"")</f>
        <v>1019.8682532371197</v>
      </c>
      <c r="V5" s="269">
        <f>MAX('Január-December'!S62:S92)</f>
        <v>14.600036288167832</v>
      </c>
      <c r="W5" s="270">
        <f>MAX('Január-December'!T62:T92)</f>
        <v>8.8428791216985125</v>
      </c>
      <c r="X5" s="270">
        <f>IFERROR(AVERAGE('Január-December'!U62:U92),"")</f>
        <v>1.7929282017864108</v>
      </c>
      <c r="Y5" s="270">
        <f>MAX('Január-December'!U62:U92)</f>
        <v>3.4767329521437387</v>
      </c>
      <c r="Z5" s="270">
        <f>MIN('Január-December'!U62:U92)</f>
        <v>0.31985446562832259</v>
      </c>
      <c r="AA5" s="287" t="s">
        <v>237</v>
      </c>
      <c r="AB5" s="271">
        <f>MAX('Január-December'!X62:X92)</f>
        <v>8.4</v>
      </c>
      <c r="AC5" s="272">
        <f>MAX('Január-December'!Y62:Y92)</f>
        <v>11</v>
      </c>
      <c r="AD5" s="273">
        <f>SUM('Január-December'!Y62:Y92)</f>
        <v>25.1</v>
      </c>
      <c r="AE5" s="274">
        <f>MAX('Január-December'!Z62:Z92)</f>
        <v>0</v>
      </c>
      <c r="AF5" s="275">
        <f>MAX('Január-December'!AA62:AA92)</f>
        <v>0</v>
      </c>
      <c r="AG5" s="276"/>
    </row>
    <row r="6" spans="1:33" s="277" customFormat="1" ht="13.8" customHeight="1" x14ac:dyDescent="0.3">
      <c r="A6" s="285" t="s">
        <v>26</v>
      </c>
      <c r="B6" s="251">
        <f>MAX('Január-December'!E93:E122)</f>
        <v>21.4</v>
      </c>
      <c r="C6" s="250">
        <f>MIN('Január-December'!F93:F122)</f>
        <v>-6.3</v>
      </c>
      <c r="D6" s="250">
        <f>MAX('Január-December'!G93:G122)</f>
        <v>21.200000000000003</v>
      </c>
      <c r="E6" s="250">
        <f>MIN('Január-December'!G93:G122)</f>
        <v>4.9000000000000004</v>
      </c>
      <c r="F6" s="250">
        <f>IFERROR(AVERAGE('Január-December'!H93:H122),"")</f>
        <v>6.9441666666666659</v>
      </c>
      <c r="G6" s="250">
        <f>IFERROR(AVERAGE('Január-December'!I93:I122),"")</f>
        <v>6.9262728146307939</v>
      </c>
      <c r="H6" s="250">
        <f>MAX('Január-December'!H93:H122)</f>
        <v>14.799999999999999</v>
      </c>
      <c r="I6" s="252">
        <f>MIN('Január-December'!H93:H122)</f>
        <v>-0.12500000000000011</v>
      </c>
      <c r="J6" s="251">
        <f>MAX('Január-December'!J93:J122)</f>
        <v>14.8</v>
      </c>
      <c r="K6" s="250">
        <f>MIN('Január-December'!K93:K122)</f>
        <v>-7.7</v>
      </c>
      <c r="L6" s="252">
        <f>IFERROR(AVERAGE('Január-December'!L93:L122),"")</f>
        <v>2.3969287528216068</v>
      </c>
      <c r="M6" s="253">
        <f>MAX('Január-December'!M93:M122)</f>
        <v>97.1</v>
      </c>
      <c r="N6" s="254">
        <f>COUNTIF('Január-December'!M93:M122,"&gt;95")</f>
        <v>8</v>
      </c>
      <c r="O6" s="255">
        <f>MIN('Január-December'!N93:N122)</f>
        <v>28.6</v>
      </c>
      <c r="P6" s="255">
        <f>IFERROR(AVERAGE('Január-December'!O93:O122),"")</f>
        <v>75.254406565967699</v>
      </c>
      <c r="Q6" s="255">
        <f>MAX('Január-December'!O93:O122)</f>
        <v>90.697708333333338</v>
      </c>
      <c r="R6" s="256">
        <f>MIN('Január-December'!O93:O122)</f>
        <v>54.873611111111224</v>
      </c>
      <c r="S6" s="257">
        <f>MAX('Január-December'!P93:P122)</f>
        <v>1028.1607879256501</v>
      </c>
      <c r="T6" s="258">
        <f>MIN('Január-December'!Q93:Q122)</f>
        <v>1000.19425528908</v>
      </c>
      <c r="U6" s="259">
        <f>IFERROR(AVERAGE('Január-December'!R93:R122),"")</f>
        <v>1015.929941585948</v>
      </c>
      <c r="V6" s="269">
        <f>MAX('Január-December'!S93:S122)</f>
        <v>14.300035542520526</v>
      </c>
      <c r="W6" s="270">
        <f>MAX('Január-December'!T93:T122)</f>
        <v>9.564309486231263</v>
      </c>
      <c r="X6" s="270">
        <f>IFERROR(AVERAGE('Január-December'!U93:U122),"")</f>
        <v>1.8897762920984464</v>
      </c>
      <c r="Y6" s="270">
        <f>MAX('Január-December'!U93:U122)</f>
        <v>4.2939818201131876</v>
      </c>
      <c r="Z6" s="270">
        <f>MIN('Január-December'!U93:U122)</f>
        <v>0.93053926720625568</v>
      </c>
      <c r="AA6" s="287" t="s">
        <v>236</v>
      </c>
      <c r="AB6" s="271">
        <f>MAX('Január-December'!X93:X122)</f>
        <v>21.6</v>
      </c>
      <c r="AC6" s="272">
        <f>MAX('Január-December'!Y93:Y122)</f>
        <v>22</v>
      </c>
      <c r="AD6" s="273">
        <f>SUM('Január-December'!Y93:Y122)</f>
        <v>63.800000000000004</v>
      </c>
      <c r="AE6" s="274">
        <f>MAX('Január-December'!Z93:Z122)</f>
        <v>3</v>
      </c>
      <c r="AF6" s="275">
        <f>MAX('Január-December'!AA93:AA122)</f>
        <v>3</v>
      </c>
      <c r="AG6" s="276"/>
    </row>
    <row r="7" spans="1:33" s="277" customFormat="1" x14ac:dyDescent="0.3">
      <c r="A7" s="285" t="s">
        <v>27</v>
      </c>
      <c r="B7" s="251">
        <f>MAX('Január-December'!E123:E153)</f>
        <v>29</v>
      </c>
      <c r="C7" s="250">
        <f>MIN('Január-December'!F123:F153)</f>
        <v>-1.5</v>
      </c>
      <c r="D7" s="250">
        <f>MAX('Január-December'!G123:G153)</f>
        <v>23.5</v>
      </c>
      <c r="E7" s="250">
        <f>MIN('Január-December'!G123:G153)</f>
        <v>3.3000000000000007</v>
      </c>
      <c r="F7" s="250">
        <f>IFERROR(AVERAGE('Január-December'!H123:H153),"")</f>
        <v>13.154032258064513</v>
      </c>
      <c r="G7" s="250">
        <f>IFERROR(AVERAGE('Január-December'!I123:I153),"")</f>
        <v>13.033356892575323</v>
      </c>
      <c r="H7" s="250">
        <f>MAX('Január-December'!H123:H153)</f>
        <v>17.100000000000001</v>
      </c>
      <c r="I7" s="252">
        <f>MIN('Január-December'!H123:H153)</f>
        <v>7.35</v>
      </c>
      <c r="J7" s="251">
        <f>MAX('Január-December'!J123:J153)</f>
        <v>18.899999999999999</v>
      </c>
      <c r="K7" s="250">
        <f>MIN('Január-December'!K123:K153)</f>
        <v>-2.8</v>
      </c>
      <c r="L7" s="252">
        <f>IFERROR(AVERAGE('Január-December'!L123:L153),"")</f>
        <v>8.5034449414818898</v>
      </c>
      <c r="M7" s="253">
        <f>MAX('Január-December'!M123:M153)</f>
        <v>97.8</v>
      </c>
      <c r="N7" s="254">
        <f>COUNTIF('Január-December'!M123:M153,"&gt;95")</f>
        <v>16</v>
      </c>
      <c r="O7" s="255">
        <f>MIN('Január-December'!N123:N153)</f>
        <v>34.9</v>
      </c>
      <c r="P7" s="255">
        <f>IFERROR(AVERAGE('Január-December'!O123:O153),"")</f>
        <v>76.254705616425795</v>
      </c>
      <c r="Q7" s="255">
        <f>MAX('Január-December'!O123:O153)</f>
        <v>91.790069444444256</v>
      </c>
      <c r="R7" s="256">
        <f>MIN('Január-December'!O123:O153)</f>
        <v>61.813541666666637</v>
      </c>
      <c r="S7" s="257">
        <f>MAX('Január-December'!P123:P153)</f>
        <v>1024.1940051198301</v>
      </c>
      <c r="T7" s="258">
        <f>MIN('Január-December'!Q123:Q153)</f>
        <v>999.58747587057496</v>
      </c>
      <c r="U7" s="259">
        <f>IFERROR(AVERAGE('Január-December'!R123:R153),"")</f>
        <v>1012.2424441707291</v>
      </c>
      <c r="V7" s="269">
        <f>MAX('Január-December'!S123:S153)</f>
        <v>13.300033057029582</v>
      </c>
      <c r="W7" s="270">
        <f>MAX('Január-December'!T123:T153)</f>
        <v>9.371451864029444</v>
      </c>
      <c r="X7" s="270">
        <f>IFERROR(AVERAGE('Január-December'!U123:U153),"")</f>
        <v>2.080881399895687</v>
      </c>
      <c r="Y7" s="270">
        <f>MAX('Január-December'!U123:U153)</f>
        <v>3.9231806339422213</v>
      </c>
      <c r="Z7" s="270">
        <f>MIN('Január-December'!U123:U153)</f>
        <v>0.62136191144905961</v>
      </c>
      <c r="AA7" s="287" t="s">
        <v>231</v>
      </c>
      <c r="AB7" s="271">
        <f>MAX('Január-December'!X123:X153)</f>
        <v>25.2</v>
      </c>
      <c r="AC7" s="272">
        <f>MAX('Január-December'!Y123:Y153)</f>
        <v>21.4</v>
      </c>
      <c r="AD7" s="273">
        <f>SUM('Január-December'!Y123:Y153)</f>
        <v>82</v>
      </c>
      <c r="AE7" s="274">
        <f>MAX('Január-December'!Z123:Z153)</f>
        <v>0</v>
      </c>
      <c r="AF7" s="275">
        <f>MAX('Január-December'!AA123:AA153)</f>
        <v>0</v>
      </c>
      <c r="AG7" s="276"/>
    </row>
    <row r="8" spans="1:33" s="277" customFormat="1" x14ac:dyDescent="0.3">
      <c r="A8" s="285" t="s">
        <v>28</v>
      </c>
      <c r="B8" s="278">
        <f>MAX('Január-December'!E154:E183)</f>
        <v>35.5</v>
      </c>
      <c r="C8" s="250">
        <f>MIN('Január-December'!F154:F183)</f>
        <v>3</v>
      </c>
      <c r="D8" s="250">
        <f>MAX('Január-December'!G154:G183)</f>
        <v>23</v>
      </c>
      <c r="E8" s="250">
        <f>MIN('Január-December'!G154:G183)</f>
        <v>9.1999999999999993</v>
      </c>
      <c r="F8" s="250">
        <f>IFERROR(AVERAGE('Január-December'!H154:H183),"")</f>
        <v>20.191666666666663</v>
      </c>
      <c r="G8" s="250">
        <f>IFERROR(AVERAGE('Január-December'!I154:I183),"")</f>
        <v>19.967564318407604</v>
      </c>
      <c r="H8" s="250">
        <f>MAX('Január-December'!H154:H183)</f>
        <v>26.824999999999999</v>
      </c>
      <c r="I8" s="279">
        <f>MIN('Január-December'!H154:H183)</f>
        <v>12.200000000000001</v>
      </c>
      <c r="J8" s="251">
        <f>MAX('Január-December'!J154:J183)</f>
        <v>26.6</v>
      </c>
      <c r="K8" s="250">
        <f>MIN('Január-December'!K154:K183)</f>
        <v>1.8</v>
      </c>
      <c r="L8" s="252">
        <f>IFERROR(AVERAGE('Január-December'!L154:L183),"")</f>
        <v>14.502326807602875</v>
      </c>
      <c r="M8" s="253">
        <f>MAX('Január-December'!M154:M183)</f>
        <v>96.6</v>
      </c>
      <c r="N8" s="254">
        <f>COUNTIF('Január-December'!M154:M183,"&gt;95")</f>
        <v>16</v>
      </c>
      <c r="O8" s="255">
        <f>MIN('Január-December'!N154:N183)</f>
        <v>31.8</v>
      </c>
      <c r="P8" s="255">
        <f>IFERROR(AVERAGE('Január-December'!O154:O183),"")</f>
        <v>73.380072901173293</v>
      </c>
      <c r="Q8" s="255">
        <f>MAX('Január-December'!O154:O183)</f>
        <v>85.969513888888983</v>
      </c>
      <c r="R8" s="256">
        <f>MIN('Január-December'!O154:O183)</f>
        <v>65.736527777777837</v>
      </c>
      <c r="S8" s="280">
        <f>MAX('Január-December'!P154:P183)</f>
        <v>1025.8780664557701</v>
      </c>
      <c r="T8" s="258">
        <f>MIN('Január-December'!Q154:Q183)</f>
        <v>1005.27718484335</v>
      </c>
      <c r="U8" s="281">
        <f>IFERROR(AVERAGE('Január-December'!R154:R183),"")</f>
        <v>1016.2622431384004</v>
      </c>
      <c r="V8" s="269">
        <f>MAX('Január-December'!S154:S183)</f>
        <v>12.900032062833221</v>
      </c>
      <c r="W8" s="270">
        <f>MAX('Január-December'!T154:T183)</f>
        <v>7.3928755177366385</v>
      </c>
      <c r="X8" s="270">
        <f>IFERROR(AVERAGE('Január-December'!U154:U183),"")</f>
        <v>1.5491596851498248</v>
      </c>
      <c r="Y8" s="270">
        <f>MAX('Január-December'!U154:U183)</f>
        <v>2.9022331559166226</v>
      </c>
      <c r="Z8" s="270">
        <f>MIN('Január-December'!U154:U183)</f>
        <v>0.81077210444743175</v>
      </c>
      <c r="AA8" s="287" t="s">
        <v>236</v>
      </c>
      <c r="AB8" s="271">
        <f>MAX('Január-December'!X154:X183)</f>
        <v>80.400000000000006</v>
      </c>
      <c r="AC8" s="272">
        <f>MAX('Január-December'!Y154:Y183)</f>
        <v>12.9</v>
      </c>
      <c r="AD8" s="273">
        <f>SUM('Január-December'!Y154:Y183)</f>
        <v>24.5</v>
      </c>
      <c r="AE8" s="274">
        <f>MAX('Január-December'!Z154:Z183)</f>
        <v>0</v>
      </c>
      <c r="AF8" s="275">
        <f>MAX('Január-December'!AA154:AA183)</f>
        <v>0</v>
      </c>
      <c r="AG8" s="276"/>
    </row>
    <row r="9" spans="1:33" s="277" customFormat="1" x14ac:dyDescent="0.3">
      <c r="A9" s="285" t="s">
        <v>29</v>
      </c>
      <c r="B9" s="278">
        <f>MAX('Január-December'!E184:E214)</f>
        <v>35.200000000000003</v>
      </c>
      <c r="C9" s="250">
        <f>MIN('Január-December'!F184:F214)</f>
        <v>10.8</v>
      </c>
      <c r="D9" s="250">
        <f>MAX('Január-December'!G184:G214)</f>
        <v>20.599999999999998</v>
      </c>
      <c r="E9" s="250">
        <f>MIN('Január-December'!G184:G214)</f>
        <v>6.6000000000000014</v>
      </c>
      <c r="F9" s="250">
        <f>IFERROR(AVERAGE('Január-December'!H184:H214),"")</f>
        <v>22.039516129032258</v>
      </c>
      <c r="G9" s="250">
        <f>IFERROR(AVERAGE('Január-December'!I184:I214),"")</f>
        <v>22.096822883520879</v>
      </c>
      <c r="H9" s="250">
        <f>MAX('Január-December'!H184:H214)</f>
        <v>26.625</v>
      </c>
      <c r="I9" s="279">
        <f>MIN('Január-December'!H184:H214)</f>
        <v>18.175000000000001</v>
      </c>
      <c r="J9" s="251">
        <f>MAX('Január-December'!J184:J214)</f>
        <v>25.9</v>
      </c>
      <c r="K9" s="250">
        <f>MIN('Január-December'!K184:K214)</f>
        <v>9.9</v>
      </c>
      <c r="L9" s="252">
        <f>IFERROR(AVERAGE('Január-December'!L184:L214),"")</f>
        <v>17.953342954684658</v>
      </c>
      <c r="M9" s="253">
        <f>MAX('Január-December'!M184:M214)</f>
        <v>97.2</v>
      </c>
      <c r="N9" s="254">
        <f>COUNTIF('Január-December'!M184:M214,"&gt;95")</f>
        <v>20</v>
      </c>
      <c r="O9" s="255">
        <f>MIN('Január-December'!N184:N214)</f>
        <v>36.5</v>
      </c>
      <c r="P9" s="255">
        <f>IFERROR(AVERAGE('Január-December'!O184:O214),"")</f>
        <v>79.370606499234853</v>
      </c>
      <c r="Q9" s="255">
        <f>MAX('Január-December'!O184:O214)</f>
        <v>89.293660968660873</v>
      </c>
      <c r="R9" s="256">
        <f>MIN('Január-December'!O184:O214)</f>
        <v>69.694166666666703</v>
      </c>
      <c r="S9" s="280">
        <f>MAX('Január-December'!P184:P214)</f>
        <v>1021.52328344176</v>
      </c>
      <c r="T9" s="258">
        <f>MIN('Január-December'!Q184:Q214)</f>
        <v>1007.82507795387</v>
      </c>
      <c r="U9" s="281">
        <f>IFERROR(AVERAGE('Január-December'!R184:R214),"")</f>
        <v>1013.5996905811918</v>
      </c>
      <c r="V9" s="269">
        <f>MAX('Január-December'!S184:S214)</f>
        <v>11.900029577342277</v>
      </c>
      <c r="W9" s="270">
        <f>MAX('Január-December'!T184:T214)</f>
        <v>7.6143046395239162</v>
      </c>
      <c r="X9" s="270">
        <f>IFERROR(AVERAGE('Január-December'!U184:U214),"")</f>
        <v>1.3668033390318275</v>
      </c>
      <c r="Y9" s="270">
        <f>MAX('Január-December'!U184:U214)</f>
        <v>2.7477932879316986</v>
      </c>
      <c r="Z9" s="270">
        <f>MIN('Január-December'!U184:U214)</f>
        <v>0.67168859076805854</v>
      </c>
      <c r="AA9" s="287" t="s">
        <v>236</v>
      </c>
      <c r="AB9" s="271">
        <f>MAX('Január-December'!X184:X214)</f>
        <v>40.799999999999997</v>
      </c>
      <c r="AC9" s="272">
        <f>MAX('Január-December'!Y184:Y214)</f>
        <v>23.6</v>
      </c>
      <c r="AD9" s="273">
        <f>SUM('Január-December'!Y184:Y214)</f>
        <v>72</v>
      </c>
      <c r="AE9" s="274">
        <f>MAX('Január-December'!Z184:Z214)</f>
        <v>0</v>
      </c>
      <c r="AF9" s="275">
        <f>MAX('Január-December'!AA184:AA214)</f>
        <v>0</v>
      </c>
      <c r="AG9" s="276"/>
    </row>
    <row r="10" spans="1:33" s="277" customFormat="1" x14ac:dyDescent="0.3">
      <c r="A10" s="285" t="s">
        <v>30</v>
      </c>
      <c r="B10" s="278">
        <f>MAX('Január-December'!E215:E245)</f>
        <v>31.6</v>
      </c>
      <c r="C10" s="250">
        <f>MIN('Január-December'!F215:F245)</f>
        <v>6.5</v>
      </c>
      <c r="D10" s="250">
        <f>MAX('Január-December'!G215:G245)</f>
        <v>18.8</v>
      </c>
      <c r="E10" s="250">
        <f>MIN('Január-December'!G215:G245)</f>
        <v>3.5999999999999996</v>
      </c>
      <c r="F10" s="250">
        <f>IFERROR(AVERAGE('Január-December'!H215:H245),"")</f>
        <v>17.603225806451611</v>
      </c>
      <c r="G10" s="250">
        <f>IFERROR(AVERAGE('Január-December'!I215:I245),"")</f>
        <v>17.895555717519674</v>
      </c>
      <c r="H10" s="250">
        <f>MAX('Január-December'!H215:H245)</f>
        <v>22.6</v>
      </c>
      <c r="I10" s="279">
        <f>MIN('Január-December'!H215:H245)</f>
        <v>13.1</v>
      </c>
      <c r="J10" s="251">
        <f>MAX('Január-December'!J215:J245)</f>
        <v>23.7</v>
      </c>
      <c r="K10" s="250">
        <f>MIN('Január-December'!K215:K245)</f>
        <v>5.7</v>
      </c>
      <c r="L10" s="252">
        <f>IFERROR(AVERAGE('Január-December'!L215:L245),"")</f>
        <v>15.146087357976773</v>
      </c>
      <c r="M10" s="253">
        <f>MAX('Január-December'!M215:M245)</f>
        <v>98.9</v>
      </c>
      <c r="N10" s="254">
        <f>COUNTIF('Január-December'!M215:M245,"&gt;95")</f>
        <v>30</v>
      </c>
      <c r="O10" s="255">
        <f>MIN('Január-December'!N215:N245)</f>
        <v>44.7</v>
      </c>
      <c r="P10" s="255">
        <f>IFERROR(AVERAGE('Január-December'!O215:O245),"")</f>
        <v>85.384856180482458</v>
      </c>
      <c r="Q10" s="255">
        <f>MAX('Január-December'!O215:O245)</f>
        <v>95.575555555555511</v>
      </c>
      <c r="R10" s="256">
        <f>MIN('Január-December'!O215:O245)</f>
        <v>77.005138888888951</v>
      </c>
      <c r="S10" s="280">
        <f>MAX('Január-December'!P215:P245)</f>
        <v>1025.24950306901</v>
      </c>
      <c r="T10" s="258">
        <f>MIN('Január-December'!Q215:Q245)</f>
        <v>998.33312887145598</v>
      </c>
      <c r="U10" s="281">
        <f>IFERROR(AVERAGE('Január-December'!R215:R245),"")</f>
        <v>1014.1573135831293</v>
      </c>
      <c r="V10" s="269">
        <f>MAX('Január-December'!S215:S245)</f>
        <v>9.9000246063603612</v>
      </c>
      <c r="W10" s="270">
        <f>MAX('Január-December'!T215:T245)</f>
        <v>6.7643025268566248</v>
      </c>
      <c r="X10" s="270">
        <f>IFERROR(AVERAGE('Január-December'!U215:U245),"")</f>
        <v>1.1560928948571607</v>
      </c>
      <c r="Y10" s="270">
        <f>MAX('Január-December'!U215:U245)</f>
        <v>2.0521876403636621</v>
      </c>
      <c r="Z10" s="270">
        <f>MIN('Január-December'!U215:U245)</f>
        <v>0.61649458784346467</v>
      </c>
      <c r="AA10" s="287" t="s">
        <v>236</v>
      </c>
      <c r="AB10" s="271">
        <f>MAX('Január-December'!X215:X245)</f>
        <v>58.8</v>
      </c>
      <c r="AC10" s="272">
        <f>MAX('Január-December'!Y215:Y245)</f>
        <v>22</v>
      </c>
      <c r="AD10" s="273">
        <f>SUM('Január-December'!Y215:Y245)</f>
        <v>141.30000000000001</v>
      </c>
      <c r="AE10" s="274">
        <f>MAX('Január-December'!Z215:Z245)</f>
        <v>0</v>
      </c>
      <c r="AF10" s="275">
        <f>MAX('Január-December'!AA215:AA245)</f>
        <v>0</v>
      </c>
      <c r="AG10" s="276"/>
    </row>
    <row r="11" spans="1:33" s="277" customFormat="1" x14ac:dyDescent="0.3">
      <c r="A11" s="285" t="s">
        <v>31</v>
      </c>
      <c r="B11" s="278">
        <f>MAX('Január-December'!E246:E275)</f>
        <v>28.5</v>
      </c>
      <c r="C11" s="250">
        <f>MIN('Január-December'!F246:F275)</f>
        <v>1.9</v>
      </c>
      <c r="D11" s="250">
        <f>MAX('Január-December'!G246:G275)</f>
        <v>21.200000000000003</v>
      </c>
      <c r="E11" s="250">
        <f>MIN('Január-December'!G246:G275)</f>
        <v>4.4571428571429017</v>
      </c>
      <c r="F11" s="250">
        <f>IFERROR(AVERAGE('Január-December'!H246:H275),"")</f>
        <v>13.524166666666666</v>
      </c>
      <c r="G11" s="250">
        <f>IFERROR(AVERAGE('Január-December'!I246:I275),"")</f>
        <v>13.83350484762636</v>
      </c>
      <c r="H11" s="250">
        <f>MAX('Január-December'!H246:H275)</f>
        <v>19.3</v>
      </c>
      <c r="I11" s="282">
        <f>MIN('Január-December'!H246:H275)</f>
        <v>8.5250000000000004</v>
      </c>
      <c r="J11" s="251">
        <f>MAX('Január-December'!J246:J275)</f>
        <v>20.134185483375798</v>
      </c>
      <c r="K11" s="250">
        <f>MIN('Január-December'!K246:K275)</f>
        <v>1</v>
      </c>
      <c r="L11" s="252">
        <f>IFERROR(AVERAGE('Január-December'!L246:L275),"")</f>
        <v>10.853641644990798</v>
      </c>
      <c r="M11" s="253">
        <f>MAX('Január-December'!M246:M275)</f>
        <v>99</v>
      </c>
      <c r="N11" s="254">
        <f>COUNTIF('Január-December'!M246:M275,"&gt;95")</f>
        <v>27</v>
      </c>
      <c r="O11" s="255">
        <f>MIN('Január-December'!N246:N275)</f>
        <v>37.299999999999997</v>
      </c>
      <c r="P11" s="255">
        <f>IFERROR(AVERAGE('Január-December'!O246:O275),"")</f>
        <v>83.915621990965505</v>
      </c>
      <c r="Q11" s="255">
        <f>MAX('Január-December'!O246:O275)</f>
        <v>95.667644855144843</v>
      </c>
      <c r="R11" s="255">
        <f>MIN('Január-December'!O246:O275)</f>
        <v>75.783055555555464</v>
      </c>
      <c r="S11" s="280">
        <f>MAX('Január-December'!P246:P275)</f>
        <v>1028.9277831844399</v>
      </c>
      <c r="T11" s="258">
        <f>MIN('Január-December'!Q246:Q275)</f>
        <v>1006.971383481</v>
      </c>
      <c r="U11" s="281">
        <f>IFERROR(AVERAGE('Január-December'!R246:R275),"")</f>
        <v>1018.5899221901376</v>
      </c>
      <c r="V11" s="269">
        <f>MAX('Január-December'!S246:S275)</f>
        <v>9.500023612164</v>
      </c>
      <c r="W11" s="283">
        <f>MAX('Január-December'!T246:T275)</f>
        <v>5.7071570421947637</v>
      </c>
      <c r="X11" s="283">
        <f>IFERROR(AVERAGE('Január-December'!U246:U275),"")</f>
        <v>0.97154864125013873</v>
      </c>
      <c r="Y11" s="283">
        <f>MAX('Január-December'!U246:U275)</f>
        <v>1.7162803074552304</v>
      </c>
      <c r="Z11" s="283">
        <f>MIN('Január-December'!U246:U275)</f>
        <v>0.49703124528422471</v>
      </c>
      <c r="AA11" s="287" t="s">
        <v>236</v>
      </c>
      <c r="AB11" s="271">
        <f>MAX('Január-December'!X246:X275)</f>
        <v>14.4</v>
      </c>
      <c r="AC11" s="272">
        <f>MAX('Január-December'!Y246:Y275)</f>
        <v>19.2</v>
      </c>
      <c r="AD11" s="273">
        <f>SUM('Január-December'!Y246:Y275)</f>
        <v>42.4</v>
      </c>
      <c r="AE11" s="274">
        <f>MAX('Január-December'!Z246:Z275)</f>
        <v>0</v>
      </c>
      <c r="AF11" s="275">
        <f>MAX('Január-December'!AA276:AA306)</f>
        <v>0</v>
      </c>
      <c r="AG11" s="276"/>
    </row>
    <row r="12" spans="1:33" s="277" customFormat="1" x14ac:dyDescent="0.3">
      <c r="A12" s="285" t="s">
        <v>32</v>
      </c>
      <c r="B12" s="278">
        <f>MAX('Január-December'!E276:E306)</f>
        <v>22.7</v>
      </c>
      <c r="C12" s="250">
        <f>MIN('Január-December'!F276:F306)</f>
        <v>-3.3</v>
      </c>
      <c r="D12" s="250">
        <f>MAX('Január-December'!G276:G306)</f>
        <v>20.8</v>
      </c>
      <c r="E12" s="250">
        <f>MIN('Január-December'!G276:G306)</f>
        <v>5.9</v>
      </c>
      <c r="F12" s="250">
        <f>IFERROR(AVERAGE('Január-December'!H276:H306),"")</f>
        <v>7.2266129032258055</v>
      </c>
      <c r="G12" s="250">
        <f>IFERROR(AVERAGE('Január-December'!I276:I306),"")</f>
        <v>7.4807320935320627</v>
      </c>
      <c r="H12" s="250">
        <f>MAX('Január-December'!H276:H306)</f>
        <v>15.8</v>
      </c>
      <c r="I12" s="282">
        <f>MIN('Január-December'!H276:H306)</f>
        <v>3.4749999999999996</v>
      </c>
      <c r="J12" s="251">
        <f>MAX('Január-December'!J276:J306)</f>
        <v>14.2</v>
      </c>
      <c r="K12" s="250">
        <f>MIN('Január-December'!K276:K306)</f>
        <v>-4.3</v>
      </c>
      <c r="L12" s="252">
        <f>IFERROR(AVERAGE('Január-December'!L276:L306),"")</f>
        <v>4.2136780592423726</v>
      </c>
      <c r="M12" s="253">
        <f>MAX('Január-December'!M276:M306)</f>
        <v>99.2</v>
      </c>
      <c r="N12" s="254">
        <f>COUNTIF('Január-December'!M276:M306,"&gt;95")</f>
        <v>28</v>
      </c>
      <c r="O12" s="255">
        <f>MIN('Január-December'!N276:N306)</f>
        <v>39.200000000000003</v>
      </c>
      <c r="P12" s="255">
        <f>IFERROR(AVERAGE('Január-December'!O276:O306),"")</f>
        <v>81.746573160581647</v>
      </c>
      <c r="Q12" s="255">
        <f>MAX('Január-December'!O276:O306)</f>
        <v>95.341041666666314</v>
      </c>
      <c r="R12" s="255">
        <f>MIN('Január-December'!O276:O306)</f>
        <v>70.745347222222236</v>
      </c>
      <c r="S12" s="280">
        <f>MAX('Január-December'!P276:P306)</f>
        <v>1033.2795532837399</v>
      </c>
      <c r="T12" s="258">
        <f>MIN('Január-December'!Q276:Q306)</f>
        <v>1005.59962526496</v>
      </c>
      <c r="U12" s="281">
        <f>IFERROR(AVERAGE('Január-December'!R276:R306),"")</f>
        <v>1023.0835222370736</v>
      </c>
      <c r="V12" s="269">
        <f>MAX('Január-December'!S276:S306)</f>
        <v>13.600033802676888</v>
      </c>
      <c r="W12" s="283">
        <f>MAX('Január-December'!T276:T306)</f>
        <v>8.478592501983945</v>
      </c>
      <c r="X12" s="283">
        <f>IFERROR(AVERAGE('Január-December'!U276:U306),"")</f>
        <v>1.3101047065476372</v>
      </c>
      <c r="Y12" s="283">
        <f>MAX('Január-December'!U276:U306)</f>
        <v>4.0774158883233413</v>
      </c>
      <c r="Z12" s="283">
        <f>MIN('Január-December'!U276:U306)</f>
        <v>0.13945471169192675</v>
      </c>
      <c r="AA12" s="287" t="s">
        <v>236</v>
      </c>
      <c r="AB12" s="271">
        <f>MAX('Január-December'!X276:X306)</f>
        <v>2.4</v>
      </c>
      <c r="AC12" s="272">
        <f>MAX('Január-December'!Y276:Y306)</f>
        <v>2</v>
      </c>
      <c r="AD12" s="273">
        <f>SUM('Január-December'!Y276:Y306)</f>
        <v>4.5999999999999996</v>
      </c>
      <c r="AE12" s="274">
        <f>MAX('Január-December'!Z276:Z306)</f>
        <v>0</v>
      </c>
      <c r="AF12" s="275">
        <f>MAX('Január-December'!AA276:AA306)</f>
        <v>0</v>
      </c>
      <c r="AG12" s="276"/>
    </row>
    <row r="13" spans="1:33" s="277" customFormat="1" ht="14.4" customHeight="1" x14ac:dyDescent="0.3">
      <c r="A13" s="285" t="s">
        <v>33</v>
      </c>
      <c r="B13" s="278">
        <f>MAX('Január-December'!E307:E336)</f>
        <v>14.7</v>
      </c>
      <c r="C13" s="250">
        <f>MIN('Január-December'!F307:F336)</f>
        <v>-4.9000000000000004</v>
      </c>
      <c r="D13" s="250">
        <f>MAX('Január-December'!G307:G336)</f>
        <v>16.3</v>
      </c>
      <c r="E13" s="250">
        <f>MIN('Január-December'!G307:G336)</f>
        <v>1.4</v>
      </c>
      <c r="F13" s="250">
        <f>IFERROR(AVERAGE('Január-December'!H307:H336),"")</f>
        <v>4.4633333333333338</v>
      </c>
      <c r="G13" s="250">
        <f>IFERROR(AVERAGE('Január-December'!I307:I336),"")</f>
        <v>4.3854624817379175</v>
      </c>
      <c r="H13" s="250">
        <f>MAX('Január-December'!H307:H336)</f>
        <v>12.324999999999999</v>
      </c>
      <c r="I13" s="282">
        <f>MIN('Január-December'!H307:H336)</f>
        <v>0</v>
      </c>
      <c r="J13" s="251">
        <f>MAX('Január-December'!J307:J336)</f>
        <v>12.4</v>
      </c>
      <c r="K13" s="250">
        <f>MIN('Január-December'!K307:K336)</f>
        <v>-5.7</v>
      </c>
      <c r="L13" s="252">
        <f>IFERROR(AVERAGE('Január-December'!L307:L336),"")</f>
        <v>2.7113854204147834</v>
      </c>
      <c r="M13" s="253">
        <f>MAX('Január-December'!M307:M336)</f>
        <v>98.5</v>
      </c>
      <c r="N13" s="254">
        <f>COUNTIF('Január-December'!M307:M336,"&gt;95")</f>
        <v>27</v>
      </c>
      <c r="O13" s="255">
        <f>MIN('Január-December'!N307:N336)</f>
        <v>53.4</v>
      </c>
      <c r="P13" s="255">
        <f>IFERROR(AVERAGE('Január-December'!O307:O336),"")</f>
        <v>89.406923006144012</v>
      </c>
      <c r="Q13" s="255">
        <f>MAX('Január-December'!O307:O336)</f>
        <v>95.429999999999893</v>
      </c>
      <c r="R13" s="255">
        <f>MIN('Január-December'!O307:O336)</f>
        <v>80.222152777777879</v>
      </c>
      <c r="S13" s="280">
        <f>MAX('Január-December'!P307:P336)</f>
        <v>1036.0898500969599</v>
      </c>
      <c r="T13" s="258">
        <f>MIN('Január-December'!Q307:Q336)</f>
        <v>989.73661149707505</v>
      </c>
      <c r="U13" s="281">
        <f>IFERROR(AVERAGE('Január-December'!R307:R336),"")</f>
        <v>1016.7779571289175</v>
      </c>
      <c r="V13" s="269">
        <f>MAX('Január-December'!S307:S336)</f>
        <v>13.600033802676888</v>
      </c>
      <c r="W13" s="283">
        <f>MAX('Január-December'!T307:T336)</f>
        <v>8.4375209713298602</v>
      </c>
      <c r="X13" s="283">
        <f>IFERROR(AVERAGE('Január-December'!U307:U336),"")</f>
        <v>1.3009945312871616</v>
      </c>
      <c r="Y13" s="283">
        <f>MAX('Január-December'!U307:U336)</f>
        <v>4.1827918942814168</v>
      </c>
      <c r="Z13" s="283">
        <f>MIN('Január-December'!U307:U336)</f>
        <v>0.25155378506180254</v>
      </c>
      <c r="AA13" s="287" t="s">
        <v>231</v>
      </c>
      <c r="AB13" s="271">
        <f>MAX('Január-December'!X307:X336)</f>
        <v>4.8</v>
      </c>
      <c r="AC13" s="272">
        <f>MAX('Január-December'!Y307:Y336)</f>
        <v>19</v>
      </c>
      <c r="AD13" s="273">
        <f>SUM('Január-December'!Y307:Y336)</f>
        <v>45</v>
      </c>
      <c r="AE13" s="274">
        <f>MAX('Január-December'!Z307:Z336)</f>
        <v>0</v>
      </c>
      <c r="AF13" s="275">
        <f>MAX('Január-December'!AA307:AA336)</f>
        <v>0</v>
      </c>
      <c r="AG13" s="276"/>
    </row>
    <row r="14" spans="1:33" s="277" customFormat="1" ht="15" thickBot="1" x14ac:dyDescent="0.35">
      <c r="A14" s="285" t="s">
        <v>34</v>
      </c>
      <c r="B14" s="278">
        <f>MAX('Január-December'!E337:E367)</f>
        <v>8.8000000000000007</v>
      </c>
      <c r="C14" s="250">
        <f>MIN('Január-December'!F337:F367)</f>
        <v>-17.399999999999999</v>
      </c>
      <c r="D14" s="250">
        <f>MAX('Január-December'!G337:G367)</f>
        <v>15.1</v>
      </c>
      <c r="E14" s="250">
        <f>MIN('Január-December'!G337:G367)</f>
        <v>1.4</v>
      </c>
      <c r="F14" s="250">
        <f>IFERROR(AVERAGE('Január-December'!H337:H367),"")</f>
        <v>-1.0161290322580645</v>
      </c>
      <c r="G14" s="250">
        <f>IFERROR(AVERAGE('Január-December'!I337:I367),"")</f>
        <v>-1.0055221136791661</v>
      </c>
      <c r="H14" s="250">
        <f>MAX('Január-December'!H337:H367)</f>
        <v>6.05</v>
      </c>
      <c r="I14" s="282">
        <f>MIN('Január-December'!H337:H367)</f>
        <v>-11.824999999999999</v>
      </c>
      <c r="J14" s="251">
        <f>MAX('Január-December'!J337:J367)</f>
        <v>5.5</v>
      </c>
      <c r="K14" s="250">
        <f>MIN('Január-December'!K337:K367)</f>
        <v>-19.100000000000001</v>
      </c>
      <c r="L14" s="252">
        <f>IFERROR(AVERAGE('Január-December'!L337:L367),"")</f>
        <v>-2.6210549280707518</v>
      </c>
      <c r="M14" s="253">
        <f>MAX('Január-December'!M337:M367)</f>
        <v>97.8</v>
      </c>
      <c r="N14" s="254">
        <f>COUNTIF('Január-December'!M337:M367,"&gt;95")</f>
        <v>19</v>
      </c>
      <c r="O14" s="255">
        <f>MIN('Január-December'!N337:N367)</f>
        <v>59</v>
      </c>
      <c r="P14" s="255">
        <f>IFERROR(AVERAGE('Január-December'!O337:O367),"")</f>
        <v>89.030605360532434</v>
      </c>
      <c r="Q14" s="255">
        <f>MAX('Január-December'!O337:O367)</f>
        <v>96.491041666666604</v>
      </c>
      <c r="R14" s="255">
        <f>MIN('Január-December'!O337:O367)</f>
        <v>78.15947480482609</v>
      </c>
      <c r="S14" s="280">
        <f>MAX('Január-December'!P337:P367)</f>
        <v>1030.9349886657601</v>
      </c>
      <c r="T14" s="258">
        <f>MIN('Január-December'!Q337:Q367)</f>
        <v>997.04964080296998</v>
      </c>
      <c r="U14" s="281">
        <f>IFERROR(AVERAGE('Január-December'!R337:R367),"")</f>
        <v>1015.1738771657687</v>
      </c>
      <c r="V14" s="269">
        <f>MAX('Január-December'!S337:S367)</f>
        <v>12.60000001008</v>
      </c>
      <c r="W14" s="283">
        <f>MAX('Január-December'!T337:T367)</f>
        <v>8.7300000069839996</v>
      </c>
      <c r="X14" s="283">
        <f>IFERROR(AVERAGE('Január-December'!U337:U367),"")</f>
        <v>1.4518901560703832</v>
      </c>
      <c r="Y14" s="283">
        <f>MAX('Január-December'!U337:U367)</f>
        <v>3.3449987429128321</v>
      </c>
      <c r="Z14" s="283">
        <f>MIN('Január-December'!U337:U367)</f>
        <v>0.14694767453616356</v>
      </c>
      <c r="AA14" s="287" t="s">
        <v>240</v>
      </c>
      <c r="AB14" s="271">
        <f>MAX('Január-December'!X337:X367)</f>
        <v>5.6</v>
      </c>
      <c r="AC14" s="272">
        <f>MAX('Január-December'!Y337:Y367)</f>
        <v>11</v>
      </c>
      <c r="AD14" s="273">
        <f>SUM('Január-December'!Y337:Y367)</f>
        <v>43.1</v>
      </c>
      <c r="AE14" s="274">
        <f>MAX('Január-December'!Z337:Z367)</f>
        <v>3</v>
      </c>
      <c r="AF14" s="275">
        <f>MAX('Január-December'!AA337:AA367)</f>
        <v>4</v>
      </c>
      <c r="AG14" s="276"/>
    </row>
    <row r="15" spans="1:33" s="238" customFormat="1" ht="16.2" thickBot="1" x14ac:dyDescent="0.35">
      <c r="A15" s="226">
        <v>2021</v>
      </c>
      <c r="B15" s="227">
        <f>MAX(B3,B4,B5,B6,B7,B8,B9,B10,B11,B12,B13,B14)</f>
        <v>35.5</v>
      </c>
      <c r="C15" s="228">
        <f>MIN(C3:C14)</f>
        <v>-17.399999999999999</v>
      </c>
      <c r="D15" s="228">
        <f>MAX(D3:D14)</f>
        <v>23.5</v>
      </c>
      <c r="E15" s="228">
        <f>MIN(E3:E14)</f>
        <v>1.4</v>
      </c>
      <c r="F15" s="228">
        <f>AVERAGE(F3:F14)</f>
        <v>8.8015316180235512</v>
      </c>
      <c r="G15" s="228">
        <f>AVERAGE(G3:G14)</f>
        <v>8.8885169731148022</v>
      </c>
      <c r="H15" s="228">
        <f>MAX(H3,H4,H5,H6,H7,H8,H9,H10,H11,H12,H13,H14)</f>
        <v>26.824999999999999</v>
      </c>
      <c r="I15" s="229">
        <f>MIN(I3:I14)</f>
        <v>-12.575000000000001</v>
      </c>
      <c r="J15" s="227">
        <f>MAX(J14,J13,J12,J11,J10,J9,J8,J7,J6,J5,J4,J3)</f>
        <v>26.6</v>
      </c>
      <c r="K15" s="228">
        <f>MIN(K3:K14)</f>
        <v>-19.100000000000001</v>
      </c>
      <c r="L15" s="229">
        <f>AVERAGE(L3:L14)</f>
        <v>5.5811075340100444</v>
      </c>
      <c r="M15" s="230">
        <f>MAX(M3,M4,M5,M6,M7,M8,M9,M10,M11,M12,M13,M14)</f>
        <v>99.2</v>
      </c>
      <c r="N15" s="239">
        <f>SUM(N3,N4,N5,N6,N7,N8,N9,N10,N11,N12,N13,N14)</f>
        <v>217</v>
      </c>
      <c r="O15" s="231">
        <f>MIN(O3)</f>
        <v>53.7</v>
      </c>
      <c r="P15" s="231">
        <f>AVERAGE(P3:P14)</f>
        <v>81.696826145935106</v>
      </c>
      <c r="Q15" s="231">
        <f>MAX(Q3,Q4,Q5,Q6,Q7,Q8,Q9,Q10,Q11,Q12,Q13,Q14)</f>
        <v>96.491041666666604</v>
      </c>
      <c r="R15" s="232">
        <f>MIN(R3,R4,R5,R6)</f>
        <v>45.204028670291635</v>
      </c>
      <c r="S15" s="233">
        <f>MAX(S3,S4,S5,S6,S7,S8,S9,S10,S11,S12,S13,S14)</f>
        <v>1038.1897133381001</v>
      </c>
      <c r="T15" s="234">
        <f>MIN(T3,T4,T5,T6,T7,T8,T9)</f>
        <v>993.75634244488197</v>
      </c>
      <c r="U15" s="241">
        <f>AVERAGE(U3:U14)</f>
        <v>1016.5572318686603</v>
      </c>
      <c r="V15" s="240">
        <f>MAX(V3,V4,V5,V6,V7,V8,V9,V10,V11,V12,V13,V14)</f>
        <v>14.600036288167832</v>
      </c>
      <c r="W15" s="235">
        <f>MAX(W3,W4,W5,W6,W7,W8,W9,W10,W11,W12,W13,W14)</f>
        <v>9.564309486231263</v>
      </c>
      <c r="X15" s="235">
        <f>AVERAGE(X3,X4,X5,X6,X7,X8,X9,X10,X11,X12,X13,X14)</f>
        <v>1.4754878971510414</v>
      </c>
      <c r="Y15" s="235">
        <f>MAX(Y3,Y4,Y5,Y6,Y7,Y8,Y9,Y10,Y11,Y12,Y13,Y14)</f>
        <v>4.8451862888057837</v>
      </c>
      <c r="Z15" s="235">
        <f>MIN(Z3)</f>
        <v>0.18673161491223556</v>
      </c>
      <c r="AA15" s="288" t="s">
        <v>236</v>
      </c>
      <c r="AB15" s="242">
        <f>MAX(AB3,AB4,AB5,AB6,AB7,AB8,AB9,AB10,AB11,AB12,AB13,AB14)</f>
        <v>80.400000000000006</v>
      </c>
      <c r="AC15" s="236">
        <f>MAX(AC3,AC4,AC5,AC6,AC7,AC8,AC9,AC10,AC11,AC12,AC13,AC14)</f>
        <v>23.6</v>
      </c>
      <c r="AD15" s="236">
        <f>SUM(AD3:AD14)</f>
        <v>670.30000000000007</v>
      </c>
      <c r="AE15" s="237">
        <f>MAX(AE3,AE4,AE5,AE6,AE7,AE8,AE9,AE10,AE11,AE12,AE13,AE14)</f>
        <v>19</v>
      </c>
      <c r="AF15" s="237">
        <f>MAX(AF3,AF4,AF5,AF6,AF7,AF8,AF9,AF10,AF11,AF12,AF13,AF14)</f>
        <v>26</v>
      </c>
    </row>
    <row r="16" spans="1:33" s="359" customFormat="1" ht="15.6" x14ac:dyDescent="0.3">
      <c r="A16" s="353"/>
      <c r="B16" s="354"/>
      <c r="C16" s="354"/>
      <c r="D16" s="354"/>
      <c r="E16" s="354"/>
      <c r="F16" s="354"/>
      <c r="G16" s="354"/>
      <c r="H16" s="354"/>
      <c r="I16" s="354"/>
      <c r="J16" s="354"/>
      <c r="K16" s="354"/>
      <c r="L16" s="355"/>
      <c r="M16" s="355"/>
      <c r="N16" s="355"/>
      <c r="O16" s="356"/>
      <c r="P16" s="356"/>
      <c r="Q16" s="356"/>
      <c r="R16" s="357"/>
      <c r="S16" s="357"/>
      <c r="T16" s="357"/>
      <c r="U16" s="357"/>
      <c r="V16" s="357"/>
      <c r="W16" s="358"/>
      <c r="X16" s="358"/>
      <c r="Y16" s="358"/>
      <c r="AA16" s="360"/>
      <c r="AB16" s="361"/>
      <c r="AC16" s="361"/>
      <c r="AD16" s="361"/>
      <c r="AE16" s="362"/>
    </row>
    <row r="17" spans="1:31" s="359" customFormat="1" ht="15.6" x14ac:dyDescent="0.3">
      <c r="A17" s="353"/>
      <c r="B17" s="354"/>
      <c r="C17" s="354"/>
      <c r="D17" s="354"/>
      <c r="E17" s="354"/>
      <c r="F17" s="354"/>
      <c r="G17" s="354"/>
      <c r="H17" s="354"/>
      <c r="I17" s="354"/>
      <c r="J17" s="354"/>
      <c r="K17" s="354"/>
      <c r="L17" s="355"/>
      <c r="M17" s="355"/>
      <c r="N17" s="355"/>
      <c r="O17" s="356"/>
      <c r="P17" s="356"/>
      <c r="Q17" s="356"/>
      <c r="R17" s="357"/>
      <c r="S17" s="357"/>
      <c r="T17" s="357"/>
      <c r="U17" s="357"/>
      <c r="V17" s="357"/>
      <c r="W17" s="358"/>
      <c r="X17" s="358"/>
      <c r="Y17" s="358"/>
      <c r="AA17" s="360"/>
      <c r="AB17" s="361"/>
      <c r="AC17" s="361"/>
      <c r="AD17" s="361"/>
      <c r="AE17" s="362"/>
    </row>
    <row r="18" spans="1:31" s="359" customFormat="1" ht="15.6" x14ac:dyDescent="0.3">
      <c r="A18" s="353"/>
      <c r="B18" s="354"/>
      <c r="C18" s="354"/>
      <c r="D18" s="354"/>
      <c r="E18" s="354"/>
      <c r="F18" s="354"/>
      <c r="G18" s="354"/>
      <c r="H18" s="354"/>
      <c r="I18" s="354"/>
      <c r="J18" s="354"/>
      <c r="K18" s="354"/>
      <c r="L18" s="355"/>
      <c r="M18" s="355"/>
      <c r="N18" s="355"/>
      <c r="O18" s="356"/>
      <c r="P18" s="356"/>
      <c r="Q18" s="356"/>
      <c r="R18" s="357"/>
      <c r="S18" s="357"/>
      <c r="T18" s="357"/>
      <c r="U18" s="357"/>
      <c r="V18" s="357"/>
      <c r="W18" s="358"/>
      <c r="X18" s="358"/>
      <c r="Y18" s="358"/>
      <c r="AA18" s="360"/>
      <c r="AB18" s="361"/>
      <c r="AC18" s="361"/>
      <c r="AD18" s="361"/>
      <c r="AE18" s="362"/>
    </row>
    <row r="19" spans="1:31" s="363" customFormat="1" x14ac:dyDescent="0.3">
      <c r="B19" s="364"/>
      <c r="C19" s="364"/>
      <c r="D19" s="364"/>
      <c r="E19" s="364"/>
      <c r="F19" s="364"/>
      <c r="G19" s="364"/>
      <c r="H19" s="364"/>
      <c r="I19" s="364"/>
      <c r="J19" s="364"/>
      <c r="K19" s="364"/>
      <c r="L19" s="365"/>
      <c r="M19" s="365"/>
      <c r="N19" s="365"/>
      <c r="O19" s="366"/>
      <c r="P19" s="366"/>
      <c r="Q19" s="366"/>
      <c r="R19" s="367"/>
      <c r="S19" s="367"/>
      <c r="T19" s="367"/>
      <c r="U19" s="367"/>
      <c r="V19" s="367"/>
      <c r="W19" s="368"/>
      <c r="X19" s="368"/>
      <c r="Y19" s="368"/>
      <c r="AA19" s="369"/>
      <c r="AB19" s="370"/>
      <c r="AC19" s="370"/>
      <c r="AD19" s="371"/>
      <c r="AE19" s="371"/>
    </row>
    <row r="20" spans="1:31" s="363" customFormat="1" x14ac:dyDescent="0.3">
      <c r="B20" s="364"/>
      <c r="C20" s="364"/>
      <c r="D20" s="364"/>
      <c r="E20" s="364"/>
      <c r="F20" s="364"/>
      <c r="G20" s="364"/>
      <c r="H20" s="364"/>
      <c r="I20" s="364"/>
      <c r="J20" s="364"/>
      <c r="K20" s="364"/>
      <c r="L20" s="365"/>
      <c r="M20" s="365"/>
      <c r="N20" s="365"/>
      <c r="O20" s="366"/>
      <c r="P20" s="366"/>
      <c r="Q20" s="366"/>
      <c r="R20" s="367"/>
      <c r="S20" s="367"/>
      <c r="T20" s="367"/>
      <c r="U20" s="367"/>
      <c r="V20" s="367"/>
      <c r="W20" s="368"/>
      <c r="X20" s="368"/>
      <c r="Y20" s="368"/>
      <c r="AA20" s="369"/>
      <c r="AB20" s="370"/>
      <c r="AC20" s="370"/>
      <c r="AD20" s="371"/>
      <c r="AE20" s="371"/>
    </row>
    <row r="35" spans="2:31" s="52" customFormat="1" x14ac:dyDescent="0.3">
      <c r="B35" s="53"/>
      <c r="C35" s="53"/>
      <c r="D35" s="53"/>
      <c r="E35" s="53"/>
      <c r="F35" s="53"/>
      <c r="G35" s="53"/>
      <c r="H35" s="53"/>
      <c r="I35" s="53"/>
      <c r="J35" s="53"/>
      <c r="K35" s="53"/>
      <c r="L35" s="54"/>
      <c r="M35" s="54"/>
      <c r="N35" s="54"/>
      <c r="O35" s="55"/>
      <c r="P35" s="55"/>
      <c r="Q35" s="55"/>
      <c r="R35" s="56"/>
      <c r="S35" s="56"/>
      <c r="T35" s="56"/>
      <c r="U35" s="56"/>
      <c r="V35" s="56"/>
      <c r="W35" s="57"/>
      <c r="X35" s="57"/>
      <c r="Y35" s="57"/>
      <c r="AA35" s="58"/>
      <c r="AB35" s="59"/>
      <c r="AC35" s="59"/>
      <c r="AD35" s="60"/>
      <c r="AE35" s="60"/>
    </row>
  </sheetData>
  <autoFilter ref="A3:A15" xr:uid="{00000000-0009-0000-0000-000002000000}">
    <filterColumn colId="0">
      <colorFilter dxfId="10"/>
    </filterColumn>
  </autoFilter>
  <mergeCells count="6">
    <mergeCell ref="AB1:AF1"/>
    <mergeCell ref="V1:AA1"/>
    <mergeCell ref="S1:U1"/>
    <mergeCell ref="J1:L1"/>
    <mergeCell ref="B1:I1"/>
    <mergeCell ref="M1:R1"/>
  </mergeCells>
  <conditionalFormatting sqref="B3:I14">
    <cfRule type="cellIs" dxfId="9" priority="14" operator="equal">
      <formula>0</formula>
    </cfRule>
  </conditionalFormatting>
  <conditionalFormatting sqref="J3:Z14 AB3:AF14">
    <cfRule type="cellIs" dxfId="8" priority="13" operator="equal">
      <formula>0</formula>
    </cfRule>
  </conditionalFormatting>
  <pageMargins left="0.7" right="0.7" top="0.75" bottom="0.75" header="0.3" footer="0.3"/>
  <pageSetup paperSize="9" orientation="portrait" r:id="rId1"/>
  <ignoredErrors>
    <ignoredError sqref="X15 AD15 J15 R15" formula="1"/>
    <ignoredError sqref="S9:U9 F3:M3 F9:M9 S8:Z8 AB8:AF8 AB9:AF9 S10:U10 AB10:AF10 S11:Z11 AB11:AF11 F14:H14 G13 AB13:AF13 S14:Z14 AB14:AF14 S3:Z3 AB3:AF3 S4:Z4 AB4:AF4 S5:Z5 AB5:AF5 S6:Z6 AB6:AF6 S7:Z7 AB7:AF7 S12:Z12 AB12:AF12 F4:M4 F5:M5 F6:M6 F7:M7 F8:M8 C6 C5 C3 B4:E4 B3 D3:E3 B5 D5:E5 B6 D6:E6 B15:C15 E15 B7:C7 B8:C8 B9:C9 B10:C10 B11:C11 B13:C13 B12:C12 B14:C14 F12:H12 F11:M11 F10:M10 O6:R6 O3:R3 O4:R4 O5:R5 O7:R7 O8:R8 O9:R9 O10:R10 O11:R11 O12:R12 O13:Z13 O14:R14 V9:Z9 V10:Z10 N3:N14 J13:M13 J12:M12 J14:M14" formulaRange="1"/>
    <ignoredError sqref="D15" formula="1"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
  <sheetViews>
    <sheetView zoomScale="85" zoomScaleNormal="85" workbookViewId="0">
      <selection activeCell="E22" sqref="E22"/>
    </sheetView>
  </sheetViews>
  <sheetFormatPr defaultRowHeight="14.4" x14ac:dyDescent="0.3"/>
  <cols>
    <col min="1" max="1" width="11.109375" customWidth="1"/>
    <col min="8" max="14" width="7.77734375" customWidth="1"/>
    <col min="15" max="16" width="7.5546875" customWidth="1"/>
    <col min="17" max="17" width="11.5546875" customWidth="1"/>
    <col min="18" max="18" width="11.109375" customWidth="1"/>
    <col min="20" max="20" width="12" customWidth="1"/>
    <col min="21" max="21" width="12.21875" customWidth="1"/>
    <col min="23" max="23" width="10.109375" customWidth="1"/>
    <col min="25" max="25" width="12" customWidth="1"/>
    <col min="26" max="26" width="10.5546875" customWidth="1"/>
    <col min="29" max="29" width="10.109375" customWidth="1"/>
  </cols>
  <sheetData>
    <row r="1" spans="1:30" s="303" customFormat="1" ht="16.5" customHeight="1" thickBot="1" x14ac:dyDescent="0.35">
      <c r="A1" s="542" t="s">
        <v>1</v>
      </c>
      <c r="B1" s="544" t="s">
        <v>104</v>
      </c>
      <c r="C1" s="545"/>
      <c r="D1" s="545"/>
      <c r="E1" s="545"/>
      <c r="F1" s="545"/>
      <c r="G1" s="546"/>
      <c r="H1" s="547" t="s">
        <v>103</v>
      </c>
      <c r="I1" s="548"/>
      <c r="J1" s="548"/>
      <c r="K1" s="548"/>
      <c r="L1" s="549"/>
      <c r="M1" s="537" t="s">
        <v>207</v>
      </c>
      <c r="N1" s="537"/>
      <c r="O1" s="537"/>
      <c r="P1" s="537"/>
      <c r="Q1" s="537"/>
      <c r="R1" s="538"/>
      <c r="S1" s="550" t="s">
        <v>14</v>
      </c>
      <c r="T1" s="551"/>
      <c r="U1" s="551"/>
      <c r="V1" s="551"/>
      <c r="W1" s="551"/>
      <c r="X1" s="551"/>
      <c r="Y1" s="552"/>
      <c r="Z1" s="539" t="s">
        <v>196</v>
      </c>
      <c r="AA1" s="540"/>
      <c r="AB1" s="540"/>
      <c r="AC1" s="541"/>
      <c r="AD1" s="305"/>
    </row>
    <row r="2" spans="1:30" s="302" customFormat="1" ht="45.75" customHeight="1" thickBot="1" x14ac:dyDescent="0.35">
      <c r="A2" s="543"/>
      <c r="B2" s="297" t="s">
        <v>102</v>
      </c>
      <c r="C2" s="298" t="s">
        <v>101</v>
      </c>
      <c r="D2" s="298" t="s">
        <v>100</v>
      </c>
      <c r="E2" s="298" t="s">
        <v>98</v>
      </c>
      <c r="F2" s="299" t="s">
        <v>99</v>
      </c>
      <c r="G2" s="299" t="s">
        <v>97</v>
      </c>
      <c r="H2" s="300" t="s">
        <v>178</v>
      </c>
      <c r="I2" s="243" t="s">
        <v>117</v>
      </c>
      <c r="J2" s="301" t="s">
        <v>116</v>
      </c>
      <c r="K2" s="301" t="s">
        <v>115</v>
      </c>
      <c r="L2" s="350" t="s">
        <v>105</v>
      </c>
      <c r="M2" s="418" t="s">
        <v>208</v>
      </c>
      <c r="N2" s="351" t="s">
        <v>199</v>
      </c>
      <c r="O2" s="348" t="s">
        <v>179</v>
      </c>
      <c r="P2" s="351" t="s">
        <v>191</v>
      </c>
      <c r="Q2" s="352" t="s">
        <v>206</v>
      </c>
      <c r="R2" s="349" t="s">
        <v>187</v>
      </c>
      <c r="S2" s="421" t="s">
        <v>186</v>
      </c>
      <c r="T2" s="186" t="s">
        <v>185</v>
      </c>
      <c r="U2" s="185" t="s">
        <v>184</v>
      </c>
      <c r="V2" s="306" t="s">
        <v>183</v>
      </c>
      <c r="W2" s="100" t="s">
        <v>190</v>
      </c>
      <c r="X2" s="100" t="s">
        <v>182</v>
      </c>
      <c r="Y2" s="422" t="s">
        <v>210</v>
      </c>
      <c r="Z2" s="420" t="s">
        <v>189</v>
      </c>
      <c r="AA2" s="187" t="s">
        <v>193</v>
      </c>
      <c r="AB2" s="294" t="s">
        <v>195</v>
      </c>
      <c r="AC2" s="295" t="s">
        <v>194</v>
      </c>
      <c r="AD2" s="304"/>
    </row>
    <row r="3" spans="1:30" s="87" customFormat="1" x14ac:dyDescent="0.3">
      <c r="A3" s="87" t="s">
        <v>23</v>
      </c>
      <c r="B3" s="87">
        <f>COUNTIF('Január-December'!E3:E33,"&lt;=-10")</f>
        <v>0</v>
      </c>
      <c r="C3" s="87">
        <f>COUNTIF('Január-December'!E3:E33,"&lt;=-0.1")</f>
        <v>5</v>
      </c>
      <c r="D3" s="87">
        <f>COUNTIF('Január-December'!F3:F33,"&lt;=0")</f>
        <v>23</v>
      </c>
      <c r="E3" s="87">
        <f>COUNTIF('Január-December'!E3:E33,"&gt;="&amp;25)</f>
        <v>0</v>
      </c>
      <c r="F3" s="87">
        <f>COUNTIF('Január-December'!E3:E33,"&gt;=30")</f>
        <v>0</v>
      </c>
      <c r="G3" s="87">
        <f>COUNTIF('Január-December'!AB3:AB33,"*tropická noc*")</f>
        <v>0</v>
      </c>
      <c r="H3" s="87">
        <f>COUNTIF(búrky!E5:E7,"*w*")</f>
        <v>0</v>
      </c>
      <c r="I3" s="87">
        <f>COUNTIF(búrky!E5:E7,"*P*")</f>
        <v>0</v>
      </c>
      <c r="J3" s="98">
        <f>COUNTIF(búrky!E5:E7,"*L*")</f>
        <v>0</v>
      </c>
      <c r="K3" s="99">
        <f>COUNTIF(búrky!E5:E7,"*V*")</f>
        <v>0</v>
      </c>
      <c r="L3" s="94">
        <f>SUM(I3:K3)</f>
        <v>0</v>
      </c>
      <c r="M3" s="94">
        <f>COUNTIF('Január-December'!AB3:AB33,"*zákal*")</f>
        <v>1</v>
      </c>
      <c r="N3" s="94">
        <f>COUNTIF('Január-December'!AB3:AB33,"*dymno*")</f>
        <v>3</v>
      </c>
      <c r="O3" s="87">
        <f>COUNTIF('Január-December'!AB3:AB33,"*hmla*")</f>
        <v>1</v>
      </c>
      <c r="P3" s="94">
        <f>COUNTIF('Január-December'!AB3:AB33,"*slnečný deň*")</f>
        <v>2</v>
      </c>
      <c r="Q3" s="309">
        <f>COUNTIF('Január-December'!AB3:AB33,"*0/8*")</f>
        <v>0</v>
      </c>
      <c r="R3" s="309">
        <f>COUNTIF('Január-December'!AB3:AB33,"*8/8*")</f>
        <v>16</v>
      </c>
      <c r="S3" s="87">
        <f t="shared" ref="S3:S14" si="0">SUM(T3,U3)</f>
        <v>24</v>
      </c>
      <c r="T3" s="309">
        <f>COUNTIF('Január-December'!W3:W33,"*N*")</f>
        <v>4</v>
      </c>
      <c r="U3" s="309">
        <f>COUNTIF('Január-December'!W3:W33,"*Z*")</f>
        <v>20</v>
      </c>
      <c r="V3" s="87">
        <f>COUNTIF('Január-December'!W3:W33,"*D*")</f>
        <v>10</v>
      </c>
      <c r="W3" s="87">
        <f>COUNTIF('Január-December'!W3:W33,"*K*")</f>
        <v>0</v>
      </c>
      <c r="X3" s="87">
        <f>COUNTIF('Január-December'!W3:W33,"*S*")</f>
        <v>16</v>
      </c>
      <c r="Y3" s="87">
        <f>COUNTIF('Január-December'!W2:W32,"*U*")</f>
        <v>0</v>
      </c>
      <c r="Z3" s="87">
        <f>SUM(AA3:AC3)</f>
        <v>17</v>
      </c>
      <c r="AA3" s="87">
        <f>COUNTIF('Január-December'!AB3:AB33,"*SSP*")</f>
        <v>16</v>
      </c>
      <c r="AB3" s="87">
        <f>COUNTIF('Január-December'!AB3:AB33,"*NSP*")</f>
        <v>1</v>
      </c>
      <c r="AC3" s="87">
        <f>COUNTIF('Január-December'!AB3:AB33,"*poprašok*")</f>
        <v>0</v>
      </c>
    </row>
    <row r="4" spans="1:30" s="87" customFormat="1" x14ac:dyDescent="0.3">
      <c r="A4" s="82" t="s">
        <v>24</v>
      </c>
      <c r="B4" s="87">
        <f>COUNTIF('Január-December'!E34:E61,"&lt;=-10")</f>
        <v>0</v>
      </c>
      <c r="C4" s="87">
        <f>COUNTIF('Január-December'!E34:E61,"&lt;=-0.1")</f>
        <v>3</v>
      </c>
      <c r="D4" s="87">
        <f>COUNTIF('Január-December'!F34:F61,"&lt;=0")</f>
        <v>25</v>
      </c>
      <c r="E4" s="87">
        <f>COUNTIF('Január-December'!E34:E61,"&gt;="&amp;25)</f>
        <v>0</v>
      </c>
      <c r="F4" s="87">
        <f>COUNTIF('Január-December'!E34:E61,"&gt;=30")</f>
        <v>0</v>
      </c>
      <c r="G4" s="87">
        <f>COUNTIF('Január-December'!AB34:AB61,"*tropická noc*")</f>
        <v>0</v>
      </c>
      <c r="H4" s="87">
        <f>COUNTIF(búrky!E19:E21,"*w*")</f>
        <v>0</v>
      </c>
      <c r="I4" s="87">
        <f>COUNTIF(búrky!E19:E21,"*P*")</f>
        <v>0</v>
      </c>
      <c r="J4" s="87">
        <f>COUNTIF(búrky!E19:E21,"*L*")</f>
        <v>0</v>
      </c>
      <c r="K4" s="87">
        <f>COUNTIF(búrky!E19:E21,"*V*")</f>
        <v>0</v>
      </c>
      <c r="L4" s="94">
        <f t="shared" ref="L4:L14" si="1">SUM(I4:K4)</f>
        <v>0</v>
      </c>
      <c r="M4" s="87">
        <f>COUNTIF('Január-December'!AB34:AB61,"*zákal*")</f>
        <v>2</v>
      </c>
      <c r="N4" s="87">
        <f>COUNTIF('Január-December'!AB34:AB61,"*dymno*")</f>
        <v>5</v>
      </c>
      <c r="O4" s="87">
        <f>COUNTIF('Január-December'!AB34:AB61,"*hmla*")</f>
        <v>8</v>
      </c>
      <c r="P4" s="87">
        <f>COUNTIF('Január-December'!AB34:AB61,"*slnečný deň*")</f>
        <v>3</v>
      </c>
      <c r="Q4" s="310">
        <f>COUNTIF('Január-December'!AB34:AB61,"*0/8*")</f>
        <v>0</v>
      </c>
      <c r="R4" s="310">
        <f>COUNTIF('Január-December'!AB34:AB61,"*8/8*")</f>
        <v>13</v>
      </c>
      <c r="S4" s="87">
        <f t="shared" si="0"/>
        <v>19</v>
      </c>
      <c r="T4" s="310">
        <f>COUNTIF('Január-December'!W34:W61,"*N*")</f>
        <v>4</v>
      </c>
      <c r="U4" s="310">
        <f>COUNTIF('Január-December'!W34:W61,"*Z*")</f>
        <v>15</v>
      </c>
      <c r="V4" s="87">
        <f>COUNTIF('Január-December'!W34:W61,"*D*")</f>
        <v>12</v>
      </c>
      <c r="W4" s="87">
        <f>COUNTIF('Január-December'!W34:W61,"*K*")</f>
        <v>0</v>
      </c>
      <c r="X4" s="87">
        <f>COUNTIF('Január-December'!W34:W61,"*S*")</f>
        <v>11</v>
      </c>
      <c r="Y4" s="87">
        <f>COUNTIF('Január-December'!W33:W61,"*U*")</f>
        <v>2</v>
      </c>
      <c r="Z4" s="87">
        <f t="shared" ref="Z4:Z14" si="2">SUM(AA4:AC4)</f>
        <v>28</v>
      </c>
      <c r="AA4" s="87">
        <f>COUNTIF('Január-December'!AB34:AB61,"*SSP*")</f>
        <v>16</v>
      </c>
      <c r="AB4" s="87">
        <f>COUNTIF('Január-December'!AB34:AB61,"*NSP*")</f>
        <v>11</v>
      </c>
      <c r="AC4" s="87">
        <f>COUNTIF('Január-December'!AB34:AB61,"*poprašok*")</f>
        <v>1</v>
      </c>
    </row>
    <row r="5" spans="1:30" s="87" customFormat="1" x14ac:dyDescent="0.3">
      <c r="A5" s="82" t="s">
        <v>25</v>
      </c>
      <c r="B5" s="87">
        <f>COUNTIF('Január-December'!E62:E92,"&lt;=-10")</f>
        <v>0</v>
      </c>
      <c r="C5" s="87">
        <f>COUNTIF('Január-December'!E62:E92,"&lt;=-0.1")</f>
        <v>0</v>
      </c>
      <c r="D5" s="87">
        <f>COUNTIF('Január-December'!F62:F92,"&lt;=0")</f>
        <v>23</v>
      </c>
      <c r="E5" s="87">
        <f>COUNTIF('Január-December'!E62:E92,"&gt;="&amp;25)</f>
        <v>0</v>
      </c>
      <c r="F5" s="87">
        <f>COUNTIF('Január-December'!E62:E92,"&gt;=30")</f>
        <v>0</v>
      </c>
      <c r="G5" s="87">
        <f>COUNTIF('Január-December'!AB62:AB92,"*tropická noc*")</f>
        <v>0</v>
      </c>
      <c r="H5" s="87">
        <f>COUNTIF(búrky!E33:E36,"*w*")</f>
        <v>1</v>
      </c>
      <c r="I5" s="87">
        <f>COUNTIF(búrky!E33:E36,"*P*")</f>
        <v>0</v>
      </c>
      <c r="J5" s="96">
        <f>COUNTIF(búrky!E33:E36,"*L*")</f>
        <v>0</v>
      </c>
      <c r="K5" s="92">
        <f>COUNTIF(búrky!E33:E36,"*V*")</f>
        <v>0</v>
      </c>
      <c r="L5" s="94">
        <f t="shared" si="1"/>
        <v>0</v>
      </c>
      <c r="M5" s="87">
        <f>COUNTIF('Január-December'!AB62:AB92,"*zákal*")</f>
        <v>0</v>
      </c>
      <c r="N5" s="87">
        <f>COUNTIF('Január-December'!AB62:AB92,"*dymno*")</f>
        <v>0</v>
      </c>
      <c r="O5" s="87">
        <f>COUNTIF('Január-December'!AB62:AB92,"*hmla*")</f>
        <v>3</v>
      </c>
      <c r="P5" s="87">
        <f>COUNTIF('Január-December'!AB62:AB92,"*slnečný deň*")</f>
        <v>4</v>
      </c>
      <c r="Q5" s="310">
        <f>COUNTIF('Január-December'!AB62:AB92,"*0/8*")</f>
        <v>0</v>
      </c>
      <c r="R5" s="310">
        <f>COUNTIF('Január-December'!AB62:AB92,"*8/8*")</f>
        <v>5</v>
      </c>
      <c r="S5" s="87">
        <f t="shared" si="0"/>
        <v>19</v>
      </c>
      <c r="T5" s="310">
        <f>COUNTIF('Január-December'!W62:W92,"*N*")</f>
        <v>8</v>
      </c>
      <c r="U5" s="310">
        <f>COUNTIF('Január-December'!W62:W92,"*Z*")</f>
        <v>11</v>
      </c>
      <c r="V5" s="87">
        <f>COUNTIF('Január-December'!W62:W92,"*D*")</f>
        <v>10</v>
      </c>
      <c r="W5" s="87">
        <f>COUNTIF('Január-December'!W62:W92,"*K*")</f>
        <v>0</v>
      </c>
      <c r="X5" s="87">
        <f>COUNTIF('Január-December'!W62:W92,"*S*")</f>
        <v>13</v>
      </c>
      <c r="Y5" s="87">
        <f>COUNTIF('Január-December'!W62:W91,"*U*")</f>
        <v>1</v>
      </c>
      <c r="Z5" s="87">
        <f t="shared" si="2"/>
        <v>2</v>
      </c>
      <c r="AA5" s="87">
        <f>COUNTIF('Január-December'!AB62:AB92,"*SSP*")</f>
        <v>0</v>
      </c>
      <c r="AB5" s="87">
        <f>COUNTIF('Január-December'!AB62:AB92,"*NSP*")</f>
        <v>0</v>
      </c>
      <c r="AC5" s="87">
        <f>COUNTIF('Január-December'!AB62:AB92,"*poprašok*")</f>
        <v>2</v>
      </c>
    </row>
    <row r="6" spans="1:30" s="87" customFormat="1" x14ac:dyDescent="0.3">
      <c r="A6" s="82" t="s">
        <v>26</v>
      </c>
      <c r="B6" s="87">
        <f>COUNTIF('Január-December'!E93:E122,"&lt;=-10")</f>
        <v>0</v>
      </c>
      <c r="C6" s="87">
        <f>COUNTIF('Január-December'!E93:E122,"&lt;=-0.1")</f>
        <v>0</v>
      </c>
      <c r="D6" s="87">
        <f>COUNTIF('Január-December'!F93:F122,"&lt;=0")</f>
        <v>14</v>
      </c>
      <c r="E6" s="87">
        <f>COUNTIF('Január-December'!E93:E122,"&gt;="&amp;25)</f>
        <v>0</v>
      </c>
      <c r="F6" s="87">
        <f>COUNTIF('Január-December'!E93:E122,"&gt;=30")</f>
        <v>0</v>
      </c>
      <c r="G6" s="87">
        <f>COUNTIF('Január-December'!AB93:AB122,"*tropická noc*")</f>
        <v>0</v>
      </c>
      <c r="H6" s="87">
        <f>COUNTIF(búrky!E48:E54,"*w*")</f>
        <v>4</v>
      </c>
      <c r="I6" s="87">
        <f>COUNTIF(búrky!E48:E54,"*P*")</f>
        <v>2</v>
      </c>
      <c r="J6" s="96">
        <f>COUNTIF(búrky!E48:E54,"*L*")</f>
        <v>3</v>
      </c>
      <c r="K6" s="92">
        <f>COUNTIF(búrky!E48:E54,"*V*")</f>
        <v>0</v>
      </c>
      <c r="L6" s="94">
        <f t="shared" si="1"/>
        <v>5</v>
      </c>
      <c r="M6" s="87">
        <f>COUNTIF('Január-December'!AB93:AB122,"*zákal*")</f>
        <v>0</v>
      </c>
      <c r="N6" s="87">
        <f>COUNTIF('Január-December'!AB93:AB122,"*dymno*")</f>
        <v>0</v>
      </c>
      <c r="O6" s="87">
        <f>COUNTIF('Január-December'!AB93:AB122,"*hmla*")</f>
        <v>3</v>
      </c>
      <c r="P6" s="87">
        <f>COUNTIF('Január-December'!AB93:AB122,"*slnečný deň*")</f>
        <v>3</v>
      </c>
      <c r="Q6" s="310">
        <f>COUNTIF('Január-December'!AB93:AB122,"*0/8*")</f>
        <v>0</v>
      </c>
      <c r="R6" s="310">
        <f>COUNTIF('Január-December'!AB93:AB122,"*8/8*")</f>
        <v>6</v>
      </c>
      <c r="S6" s="87">
        <f t="shared" si="0"/>
        <v>25</v>
      </c>
      <c r="T6" s="310">
        <f>COUNTIF('Január-December'!W93:W122,"*N*")</f>
        <v>9</v>
      </c>
      <c r="U6" s="310">
        <f>COUNTIF('Január-December'!W93:W122,"*Z*")</f>
        <v>16</v>
      </c>
      <c r="V6" s="87">
        <f>COUNTIF('Január-December'!W93:W122,"*D*")</f>
        <v>21</v>
      </c>
      <c r="W6" s="87">
        <f>COUNTIF('Január-December'!W93:W122,"*K*")</f>
        <v>1</v>
      </c>
      <c r="X6" s="87">
        <f>COUNTIF('Január-December'!W93:W122,"*S*")</f>
        <v>8</v>
      </c>
      <c r="Y6" s="87">
        <f>COUNTIF('Január-December'!W93:W122,"*U*")</f>
        <v>1</v>
      </c>
      <c r="Z6" s="87">
        <f t="shared" si="2"/>
        <v>2</v>
      </c>
      <c r="AA6" s="87">
        <f>COUNTIF('Január-December'!AB93:AB122,"*SSP*")</f>
        <v>2</v>
      </c>
      <c r="AB6" s="87">
        <f>COUNTIF('Január-December'!AB93:AB122,"*NSP*")</f>
        <v>0</v>
      </c>
      <c r="AC6" s="87">
        <f>COUNTIF('Január-December'!AB93:AB122,"*poprašok*")</f>
        <v>0</v>
      </c>
    </row>
    <row r="7" spans="1:30" s="87" customFormat="1" x14ac:dyDescent="0.3">
      <c r="A7" s="82" t="s">
        <v>27</v>
      </c>
      <c r="B7" s="87">
        <f>COUNTIF('Január-December'!E123:E153,"&lt;=-10")</f>
        <v>0</v>
      </c>
      <c r="C7" s="87">
        <f>COUNTIF('Január-December'!E123:E153,"&lt;=-0.1")</f>
        <v>0</v>
      </c>
      <c r="D7" s="87">
        <f>COUNTIF('Január-December'!F123:F153,"&lt;=0")</f>
        <v>2</v>
      </c>
      <c r="E7" s="87">
        <f>COUNTIF('Január-December'!E123:E153,"&gt;="&amp;25)</f>
        <v>3</v>
      </c>
      <c r="F7" s="87">
        <f>COUNTIF('Január-December'!E123:E153,"&gt;=30")</f>
        <v>0</v>
      </c>
      <c r="G7" s="87">
        <f>COUNTIF('Január-December'!AB123:AB153,"*tropická noc*")</f>
        <v>0</v>
      </c>
      <c r="H7" s="87">
        <f>COUNTIF(búrky!E66:E74,"*w*")</f>
        <v>2</v>
      </c>
      <c r="I7" s="87">
        <f>COUNTIF(búrky!E66:E74,"*P*")</f>
        <v>2</v>
      </c>
      <c r="J7" s="96">
        <f>COUNTIF(búrky!E66:E74,"*L*")</f>
        <v>0</v>
      </c>
      <c r="K7" s="92">
        <f>COUNTIF(búrky!E66:E74,"*V*")</f>
        <v>0</v>
      </c>
      <c r="L7" s="94">
        <f t="shared" si="1"/>
        <v>2</v>
      </c>
      <c r="M7" s="87">
        <f>COUNTIF('Január-December'!AB123:AB153,"*zákal*")</f>
        <v>0</v>
      </c>
      <c r="N7" s="87">
        <f>COUNTIF('Január-December'!AB123:AB153,"*dymno*")</f>
        <v>1</v>
      </c>
      <c r="O7" s="87">
        <f>COUNTIF('Január-December'!AB123:AB153,"*hmla*")</f>
        <v>6</v>
      </c>
      <c r="P7" s="87">
        <f>COUNTIF('Január-December'!AB123:AB153,"*slnečný deň*")</f>
        <v>5</v>
      </c>
      <c r="Q7" s="310">
        <f>COUNTIF('Január-December'!AB123:AB153,"*0/8*")</f>
        <v>0</v>
      </c>
      <c r="R7" s="310">
        <f>COUNTIF('Január-December'!AB123:AB153,"*8/8*")</f>
        <v>4</v>
      </c>
      <c r="S7" s="87">
        <f t="shared" si="0"/>
        <v>18</v>
      </c>
      <c r="T7" s="310">
        <f>COUNTIF('Január-December'!W123:W153,"*N*")</f>
        <v>4</v>
      </c>
      <c r="U7" s="310">
        <f>COUNTIF('Január-December'!W123:W153,"*Z*")</f>
        <v>14</v>
      </c>
      <c r="V7" s="87">
        <f>COUNTIF('Január-December'!W123:W153,"*D*")</f>
        <v>18</v>
      </c>
      <c r="W7" s="87">
        <f>COUNTIF('Január-December'!W123:W153,"*K*")</f>
        <v>0</v>
      </c>
      <c r="X7" s="87">
        <f>COUNTIF('Január-December'!W123:W153,"*S*")</f>
        <v>0</v>
      </c>
      <c r="Y7" s="87">
        <f>COUNTIF('Január-December'!W123:W153,"*U*")</f>
        <v>1</v>
      </c>
      <c r="Z7" s="87">
        <f t="shared" si="2"/>
        <v>0</v>
      </c>
      <c r="AA7" s="87">
        <f>COUNTIF('Január-December'!AB123:AB153,"*SSP*")</f>
        <v>0</v>
      </c>
      <c r="AB7" s="87">
        <f>COUNTIF('Január-December'!AB123:AB153,"*NSP*")</f>
        <v>0</v>
      </c>
      <c r="AC7" s="87">
        <f>COUNTIF('Január-December'!AB123:AB153,"*poprašok*")</f>
        <v>0</v>
      </c>
    </row>
    <row r="8" spans="1:30" s="87" customFormat="1" x14ac:dyDescent="0.3">
      <c r="A8" s="82" t="s">
        <v>28</v>
      </c>
      <c r="B8" s="87">
        <f>COUNTIF('Január-December'!E154:E183,"&lt;=-10")</f>
        <v>0</v>
      </c>
      <c r="C8" s="87">
        <f>COUNTIF('Január-December'!E154:E183,"&lt;=-0.1")</f>
        <v>0</v>
      </c>
      <c r="D8" s="87">
        <f>COUNTIF('Január-December'!F154:F183,"&lt;=0")</f>
        <v>0</v>
      </c>
      <c r="E8" s="87">
        <f>COUNTIF('Január-December'!E154:E183,"&gt;="&amp;25)</f>
        <v>25</v>
      </c>
      <c r="F8" s="87">
        <f>COUNTIF('Január-December'!E154:E183,"&gt;=30")</f>
        <v>12</v>
      </c>
      <c r="G8" s="87">
        <f>COUNTIF('Január-December'!AB154:AB183,"*tropická noc*")</f>
        <v>0</v>
      </c>
      <c r="H8" s="87">
        <f>COUNTIF(búrky!E86:E103,"*w*")</f>
        <v>3</v>
      </c>
      <c r="I8" s="87">
        <f>COUNTIF(búrky!E86:E103,"*P*")</f>
        <v>1</v>
      </c>
      <c r="J8" s="96">
        <f>COUNTIF(búrky!E86:E103,"*L*")</f>
        <v>1</v>
      </c>
      <c r="K8" s="92">
        <f>COUNTIF(búrky!E86:E103,"*V*")</f>
        <v>2</v>
      </c>
      <c r="L8" s="94">
        <f t="shared" si="1"/>
        <v>4</v>
      </c>
      <c r="M8" s="87">
        <f>COUNTIF('Január-December'!AB154:AB183,"*zákal*")</f>
        <v>1</v>
      </c>
      <c r="N8" s="87">
        <f>COUNTIF('Január-December'!AB154:AB183,"*dymno*")</f>
        <v>8</v>
      </c>
      <c r="O8" s="87">
        <f>COUNTIF('Január-December'!AB154:AB183,"*hmla*")</f>
        <v>4</v>
      </c>
      <c r="P8" s="87">
        <f>COUNTIF('Január-December'!AB154:AB183,"*slnečný deň*")</f>
        <v>12</v>
      </c>
      <c r="Q8" s="310">
        <f>COUNTIF('Január-December'!AB154:AB183,"*0/8*")</f>
        <v>0</v>
      </c>
      <c r="R8" s="310">
        <f>COUNTIF('Január-December'!AB154:AB183,"*8/8*")</f>
        <v>0</v>
      </c>
      <c r="S8" s="87">
        <f t="shared" si="0"/>
        <v>7</v>
      </c>
      <c r="T8" s="310">
        <f>COUNTIF('Január-December'!W154:W183,"*N*")</f>
        <v>2</v>
      </c>
      <c r="U8" s="310">
        <f>COUNTIF('Január-December'!W154:W183,"*Z*")</f>
        <v>5</v>
      </c>
      <c r="V8" s="87">
        <f>COUNTIF('Január-December'!W154:W183,"*D*")</f>
        <v>7</v>
      </c>
      <c r="W8" s="87">
        <f>COUNTIF('Január-December'!W154:W183,"*K*")</f>
        <v>0</v>
      </c>
      <c r="X8" s="87">
        <f>COUNTIF('Január-December'!W154:W183,"*S*")</f>
        <v>0</v>
      </c>
      <c r="Y8" s="87">
        <f>COUNTIF('Január-December'!W153:W182,"*U*")</f>
        <v>1</v>
      </c>
      <c r="Z8" s="87">
        <f t="shared" si="2"/>
        <v>0</v>
      </c>
      <c r="AA8" s="87">
        <f>COUNTIF('Január-December'!AB154:AB183,"*SSP*")</f>
        <v>0</v>
      </c>
      <c r="AB8" s="87">
        <f>COUNTIF('Január-December'!AB154:AB183,"*NSP*")</f>
        <v>0</v>
      </c>
      <c r="AC8" s="87">
        <f>COUNTIF('Január-December'!AB154:AB183,"*poprašok*")</f>
        <v>0</v>
      </c>
    </row>
    <row r="9" spans="1:30" s="87" customFormat="1" x14ac:dyDescent="0.3">
      <c r="A9" s="82" t="s">
        <v>29</v>
      </c>
      <c r="B9" s="87">
        <f>COUNTIF('Január-December'!E184:E214,"&lt;=-10")</f>
        <v>0</v>
      </c>
      <c r="C9" s="87">
        <f>COUNTIF('Január-December'!E184:E214,"&lt;=-0.1")</f>
        <v>0</v>
      </c>
      <c r="D9" s="87">
        <f>COUNTIF('Január-December'!F184:F214,"&lt;=0")</f>
        <v>0</v>
      </c>
      <c r="E9" s="87">
        <f>COUNTIF('Január-December'!E184:E214,"&gt;="&amp;25)</f>
        <v>27</v>
      </c>
      <c r="F9" s="87">
        <f>COUNTIF('Január-December'!E184:E214,"&gt;=30")</f>
        <v>17</v>
      </c>
      <c r="G9" s="87">
        <f>COUNTIF('Január-December'!AB184:AB214,"*tropická noc*")</f>
        <v>1</v>
      </c>
      <c r="H9" s="87">
        <f>COUNTIF(búrky!E115:E137,"*w*")</f>
        <v>14</v>
      </c>
      <c r="I9" s="87">
        <f>COUNTIF(búrky!E115:E137,"*P*")</f>
        <v>6</v>
      </c>
      <c r="J9" s="96">
        <f>COUNTIF(búrky!E115:E137,"*L*")</f>
        <v>4</v>
      </c>
      <c r="K9" s="92">
        <f>COUNTIF(búrky!E115:E137,"*V*")</f>
        <v>11</v>
      </c>
      <c r="L9" s="94">
        <f>SUM(I9:K9)</f>
        <v>21</v>
      </c>
      <c r="M9" s="87">
        <f>COUNTIF('Január-December'!AB184:AB214,"*zákal*")</f>
        <v>0</v>
      </c>
      <c r="N9" s="87">
        <f>COUNTIF('Január-December'!AB184:AB214,"*dymno*")</f>
        <v>3</v>
      </c>
      <c r="O9" s="87">
        <f>COUNTIF('Január-December'!AB184:AB214,"*hmla*")</f>
        <v>10</v>
      </c>
      <c r="P9" s="87">
        <f>COUNTIF('Január-December'!AB184:AB214,"*slnečný deň*")</f>
        <v>4</v>
      </c>
      <c r="Q9" s="310">
        <f>COUNTIF('Január-December'!AB184:AB214,"*0/8*")</f>
        <v>0</v>
      </c>
      <c r="R9" s="310">
        <f>COUNTIF('Január-December'!AB184:AB214,"*8/8*")</f>
        <v>1</v>
      </c>
      <c r="S9" s="87">
        <f t="shared" si="0"/>
        <v>19</v>
      </c>
      <c r="T9" s="310">
        <f>COUNTIF('Január-December'!W184:W214,"*N*")</f>
        <v>5</v>
      </c>
      <c r="U9" s="310">
        <f>COUNTIF('Január-December'!W184:W214,"*Z*")</f>
        <v>14</v>
      </c>
      <c r="V9" s="87">
        <f>COUNTIF('Január-December'!W184:W214,"*D*")</f>
        <v>19</v>
      </c>
      <c r="W9" s="87">
        <f>COUNTIF('Január-December'!W184:W214,"*K*")</f>
        <v>0</v>
      </c>
      <c r="X9" s="87">
        <f>COUNTIF('Január-December'!W184:W214,"*S*")</f>
        <v>0</v>
      </c>
      <c r="Y9" s="87">
        <f>COUNTIF('Január-December'!W183:W213,"*U*")</f>
        <v>1</v>
      </c>
      <c r="Z9" s="87">
        <f t="shared" si="2"/>
        <v>0</v>
      </c>
      <c r="AA9" s="87">
        <f>COUNTIF('Január-December'!AB184:AB214,"*SSP*")</f>
        <v>0</v>
      </c>
      <c r="AB9" s="87">
        <f>COUNTIF('Január-December'!AB184:AB214,"*NSP*")</f>
        <v>0</v>
      </c>
      <c r="AC9" s="87">
        <f>COUNTIF('Január-December'!AB184:AB214,"*poprašok*")</f>
        <v>0</v>
      </c>
    </row>
    <row r="10" spans="1:30" s="87" customFormat="1" x14ac:dyDescent="0.3">
      <c r="A10" s="82" t="s">
        <v>30</v>
      </c>
      <c r="B10" s="87">
        <f>COUNTIF('Január-December'!E215:E245,"&lt;=-10")</f>
        <v>0</v>
      </c>
      <c r="C10" s="87">
        <f>COUNTIF('Január-December'!E215:E245,"&lt;=-0.1")</f>
        <v>0</v>
      </c>
      <c r="D10" s="87">
        <f>COUNTIF('Január-December'!F215:F245,"&lt;=0")</f>
        <v>0</v>
      </c>
      <c r="E10" s="87">
        <f>COUNTIF('Január-December'!E215:E245,"&gt;="&amp;25)</f>
        <v>16</v>
      </c>
      <c r="F10" s="87">
        <f>COUNTIF('Január-December'!E215:E245,"&gt;=30")</f>
        <v>2</v>
      </c>
      <c r="G10" s="87">
        <f>COUNTIF('Január-December'!AB215:AB245,"*tropická noc*")</f>
        <v>0</v>
      </c>
      <c r="H10" s="87">
        <f>COUNTIF(búrky!E149:E164,"*w*")</f>
        <v>12</v>
      </c>
      <c r="I10" s="87">
        <f>COUNTIF(búrky!E149:E164,"*P*")</f>
        <v>7</v>
      </c>
      <c r="J10" s="96">
        <f>COUNTIF(búrky!E149:E164,"*L*")</f>
        <v>2</v>
      </c>
      <c r="K10" s="92">
        <f>COUNTIF(búrky!E149:E164,"*V*")</f>
        <v>5</v>
      </c>
      <c r="L10" s="94">
        <f t="shared" si="1"/>
        <v>14</v>
      </c>
      <c r="M10" s="87">
        <f>COUNTIF('Január-December'!AB215:AB245,"*zákal*")</f>
        <v>0</v>
      </c>
      <c r="N10" s="87">
        <f>COUNTIF('Január-December'!AB215:AB245,"*dymno*")</f>
        <v>1</v>
      </c>
      <c r="O10" s="87">
        <f>COUNTIF('Január-December'!AB215:AB245,"*hmla*")</f>
        <v>17</v>
      </c>
      <c r="P10" s="87">
        <f>COUNTIF('Január-December'!AB215:AB245,"*slnečný deň*")</f>
        <v>1</v>
      </c>
      <c r="Q10" s="310">
        <f>COUNTIF('Január-December'!AB215:AB245,"*0/8*")</f>
        <v>0</v>
      </c>
      <c r="R10" s="310">
        <f>COUNTIF('Január-December'!AB215:AB245,"*8/8*")</f>
        <v>7</v>
      </c>
      <c r="S10" s="87">
        <f>SUM(T10,U10)</f>
        <v>21</v>
      </c>
      <c r="T10" s="310">
        <f>COUNTIF('Január-December'!W215:W245,"*N*")</f>
        <v>2</v>
      </c>
      <c r="U10" s="310">
        <f>COUNTIF('Január-December'!W215:W245,"*Z*")</f>
        <v>19</v>
      </c>
      <c r="V10" s="87">
        <f>COUNTIF('Január-December'!W215:W245,"*D*")</f>
        <v>20</v>
      </c>
      <c r="W10" s="87">
        <f>COUNTIF('Január-December'!W215:W245,"*K*")</f>
        <v>2</v>
      </c>
      <c r="X10" s="87">
        <f>COUNTIF('Január-December'!W215:W245,"*S*")</f>
        <v>0</v>
      </c>
      <c r="Y10" s="87">
        <f>COUNTIF('Január-December'!W214:W244,"*U*")</f>
        <v>3</v>
      </c>
      <c r="Z10" s="87">
        <f t="shared" si="2"/>
        <v>0</v>
      </c>
      <c r="AA10" s="87">
        <f>COUNTIF('Január-December'!AB215:AB245,"*SSP*")</f>
        <v>0</v>
      </c>
      <c r="AB10" s="87">
        <f>COUNTIF('Január-December'!AB215:AB245,"*NSP*")</f>
        <v>0</v>
      </c>
      <c r="AC10" s="87">
        <f>COUNTIF('Január-December'!AB215:AB245,"*poprašok*")</f>
        <v>0</v>
      </c>
    </row>
    <row r="11" spans="1:30" s="87" customFormat="1" ht="15" customHeight="1" x14ac:dyDescent="0.3">
      <c r="A11" s="82" t="s">
        <v>31</v>
      </c>
      <c r="B11" s="87">
        <f>COUNTIF('Január-December'!E246:E275,"&lt;=-10")</f>
        <v>0</v>
      </c>
      <c r="C11" s="87">
        <f>COUNTIF('Január-December'!E246:E275,"&lt;=-0.1")</f>
        <v>0</v>
      </c>
      <c r="D11" s="87">
        <f>COUNTIF('Január-December'!F246:F275,"&lt;=0")</f>
        <v>0</v>
      </c>
      <c r="E11" s="87">
        <f>COUNTIF('Január-December'!E246:E275,"&gt;="&amp;25)</f>
        <v>11</v>
      </c>
      <c r="F11" s="87">
        <f>COUNTIF('Január-December'!E246:E275,"&gt;=30")</f>
        <v>0</v>
      </c>
      <c r="G11" s="87">
        <f>COUNTIF('Január-December'!AB246:AB275,"*tropická noc*")</f>
        <v>0</v>
      </c>
      <c r="H11" s="87">
        <f>COUNTIF(búrky!E177:E182,"*w*")</f>
        <v>1</v>
      </c>
      <c r="I11" s="87">
        <f>COUNTIF(búrky!E177:E182,"*P*")</f>
        <v>0</v>
      </c>
      <c r="J11" s="96">
        <f>COUNTIF(búrky!E177:E182,"*L*")</f>
        <v>0</v>
      </c>
      <c r="K11" s="92">
        <f>COUNTIF(búrky!E177:E182,"*V*")</f>
        <v>1</v>
      </c>
      <c r="L11" s="94">
        <f t="shared" si="1"/>
        <v>1</v>
      </c>
      <c r="M11" s="87">
        <f>COUNTIF('Január-December'!AB246:AB275,"*zákal*")</f>
        <v>0</v>
      </c>
      <c r="N11" s="87">
        <f>COUNTIF('Január-December'!AB246:AB275,"*dymno*")</f>
        <v>0</v>
      </c>
      <c r="O11" s="87">
        <f>COUNTIF('Január-December'!AB246:AB275,"*hmla*")</f>
        <v>13</v>
      </c>
      <c r="P11" s="87">
        <f>COUNTIF('Január-December'!AB246:AB275,"*slnečný deň*")</f>
        <v>8</v>
      </c>
      <c r="Q11" s="310">
        <f>COUNTIF('Január-December'!AB246:AB275,"*0/8*")</f>
        <v>0</v>
      </c>
      <c r="R11" s="310">
        <f>COUNTIF('Január-December'!AB246:AB275,"*8/8*")</f>
        <v>2</v>
      </c>
      <c r="S11" s="87">
        <f t="shared" si="0"/>
        <v>10</v>
      </c>
      <c r="T11" s="310">
        <f>COUNTIF('Január-December'!W246:W275,"*N*")</f>
        <v>0</v>
      </c>
      <c r="U11" s="310">
        <f>COUNTIF('Január-December'!W246:W275,"*Z*")</f>
        <v>10</v>
      </c>
      <c r="V11" s="87">
        <f>COUNTIF('Január-December'!W246:W275,"*D*")</f>
        <v>10</v>
      </c>
      <c r="W11" s="87">
        <f>COUNTIF('Január-December'!W246:W275,"*K*")</f>
        <v>0</v>
      </c>
      <c r="X11" s="87">
        <f>COUNTIF('Január-December'!W246:W275,"*S*")</f>
        <v>0</v>
      </c>
      <c r="Y11" s="87">
        <f>COUNTIF('Január-December'!W245:W274,"*U*")</f>
        <v>0</v>
      </c>
      <c r="Z11" s="87">
        <f t="shared" si="2"/>
        <v>0</v>
      </c>
      <c r="AA11" s="87">
        <f>COUNTIF('Január-December'!AB246:AB275,"*SSP*")</f>
        <v>0</v>
      </c>
      <c r="AB11" s="87">
        <f>COUNTIF('Január-December'!AB246:AB275,"*NSP*")</f>
        <v>0</v>
      </c>
      <c r="AC11" s="87">
        <f>COUNTIF('Január-December'!AB246:AB275,"*poprašok*")</f>
        <v>0</v>
      </c>
    </row>
    <row r="12" spans="1:30" s="87" customFormat="1" ht="15" customHeight="1" x14ac:dyDescent="0.3">
      <c r="A12" s="82" t="s">
        <v>32</v>
      </c>
      <c r="B12" s="87">
        <f>COUNTIF('Január-December'!E276:E306,"&lt;=-10")</f>
        <v>0</v>
      </c>
      <c r="C12" s="87">
        <f>COUNTIF('Január-December'!E276:E306,"&lt;=-0.1")</f>
        <v>0</v>
      </c>
      <c r="D12" s="87">
        <f>COUNTIF('Január-December'!F276:F306,"&lt;=0")</f>
        <v>16</v>
      </c>
      <c r="E12" s="87">
        <f>COUNTIF('Január-December'!E276:E306,"&gt;="&amp;25)</f>
        <v>0</v>
      </c>
      <c r="F12" s="87">
        <f>COUNTIF('Január-December'!E276:E306,"&gt;=30")</f>
        <v>0</v>
      </c>
      <c r="G12" s="87">
        <f>COUNTIF('Január-December'!AB276:AB306,"*tropická noc*")</f>
        <v>0</v>
      </c>
      <c r="H12" s="87">
        <f>COUNTIF(búrky!E195:E197,"*w*")</f>
        <v>0</v>
      </c>
      <c r="I12" s="87">
        <f>COUNTIF(búrky!E195:E197,"*P*")</f>
        <v>0</v>
      </c>
      <c r="J12" s="96">
        <f>COUNTIF(búrky!E195:E197,"*L*")</f>
        <v>0</v>
      </c>
      <c r="K12" s="92">
        <f>COUNTIF(búrky!E195:E197,"*V*")</f>
        <v>0</v>
      </c>
      <c r="L12" s="94">
        <f t="shared" si="1"/>
        <v>0</v>
      </c>
      <c r="M12" s="87">
        <f>COUNTIF('Január-December'!AB276:AB306,"*zákal*")</f>
        <v>0</v>
      </c>
      <c r="N12" s="87">
        <f>COUNTIF('Január-December'!AB276:AB306,"*dymno*")</f>
        <v>7</v>
      </c>
      <c r="O12" s="87">
        <f>COUNTIF('Január-December'!AB276:AB306,"*hmla*")</f>
        <v>13</v>
      </c>
      <c r="P12" s="87">
        <f>COUNTIF('Január-December'!AB276:AB306,"*slnečný deň*")</f>
        <v>7</v>
      </c>
      <c r="Q12" s="310">
        <f>COUNTIF('Január-December'!AB276:AB306,"*0/8*")</f>
        <v>3</v>
      </c>
      <c r="R12" s="310">
        <f>COUNTIF('Január-December'!AB276:AB306,"*8/8*")</f>
        <v>3</v>
      </c>
      <c r="S12" s="87">
        <f t="shared" si="0"/>
        <v>8</v>
      </c>
      <c r="T12" s="310">
        <f>COUNTIF('Január-December'!W276:W306,"*N*")</f>
        <v>2</v>
      </c>
      <c r="U12" s="310">
        <f>COUNTIF('Január-December'!W276:W306,"*Z*")</f>
        <v>6</v>
      </c>
      <c r="V12" s="87">
        <f>COUNTIF('Január-December'!W276:W306,"*D*")</f>
        <v>8</v>
      </c>
      <c r="W12" s="87">
        <f>COUNTIF('Január-December'!W276:W306,"*K*")</f>
        <v>0</v>
      </c>
      <c r="X12" s="87">
        <f>COUNTIF('Január-December'!W276:W306,"*S*")</f>
        <v>0</v>
      </c>
      <c r="Y12" s="87">
        <f>COUNTIF('Január-December'!W275:W305,"*U*")</f>
        <v>0</v>
      </c>
      <c r="Z12" s="87">
        <f t="shared" si="2"/>
        <v>0</v>
      </c>
      <c r="AA12" s="87">
        <f>COUNTIF('Január-December'!AB276:AB306,"*SSP*")</f>
        <v>0</v>
      </c>
      <c r="AB12" s="87">
        <f>COUNTIF('Január-December'!AB276:AB306,"*NSP*")</f>
        <v>0</v>
      </c>
      <c r="AC12" s="87">
        <f>COUNTIF('Január-December'!AB276:AB306,"*poprašok*")</f>
        <v>0</v>
      </c>
    </row>
    <row r="13" spans="1:30" s="87" customFormat="1" x14ac:dyDescent="0.3">
      <c r="A13" s="82" t="s">
        <v>33</v>
      </c>
      <c r="B13" s="87">
        <f>COUNTIF('Január-December'!E307:E336,"&lt;=-10")</f>
        <v>0</v>
      </c>
      <c r="C13" s="87">
        <f>COUNTIF('Január-December'!E307:E336,"&lt;=-0.1")</f>
        <v>0</v>
      </c>
      <c r="D13" s="87">
        <f>COUNTIF('Január-December'!F307:F336,"&lt;=0")</f>
        <v>12</v>
      </c>
      <c r="E13" s="87">
        <f>COUNTIF('Január-December'!E307:E336,"&gt;="&amp;25)</f>
        <v>0</v>
      </c>
      <c r="F13" s="87">
        <f>COUNTIF('Január-December'!E307:E336,"&gt;=30")</f>
        <v>0</v>
      </c>
      <c r="G13" s="87">
        <f>COUNTIF('Január-December'!AB307:AB336,"*tropická noc*")</f>
        <v>0</v>
      </c>
      <c r="H13" s="87">
        <f>COUNTIF(búrky!E210:E212,"*w*")</f>
        <v>0</v>
      </c>
      <c r="I13" s="87">
        <f>COUNTIF(búrky!E210:E212,"*P*")</f>
        <v>0</v>
      </c>
      <c r="J13" s="96">
        <f>COUNTIF(búrky!E210:E212,"*L*")</f>
        <v>0</v>
      </c>
      <c r="K13" s="92">
        <f>COUNTIF(búrky!E210:E212,"*V*")</f>
        <v>0</v>
      </c>
      <c r="L13" s="94">
        <f t="shared" si="1"/>
        <v>0</v>
      </c>
      <c r="M13" s="87">
        <f>COUNTIF('Január-December'!AB307:AB336,"*zákal*")</f>
        <v>0</v>
      </c>
      <c r="N13" s="87">
        <f>COUNTIF('Január-December'!AB307:AB336,"*dymno*")</f>
        <v>6</v>
      </c>
      <c r="O13" s="87">
        <f>COUNTIF('Január-December'!AB307:AB336,"*hmla*")</f>
        <v>16</v>
      </c>
      <c r="P13" s="87">
        <f>COUNTIF('Január-December'!AB307:AB336,"*slnečný deň*")</f>
        <v>2</v>
      </c>
      <c r="Q13" s="310">
        <f>COUNTIF('Január-December'!AB307:AB336,"*0/8*")</f>
        <v>0</v>
      </c>
      <c r="R13" s="310">
        <f>COUNTIF('Január-December'!AB307:AB336,"*8/8*")</f>
        <v>11</v>
      </c>
      <c r="S13" s="87">
        <f t="shared" si="0"/>
        <v>19</v>
      </c>
      <c r="T13" s="310">
        <f>COUNTIF('Január-December'!W307:W336,"*N*")</f>
        <v>2</v>
      </c>
      <c r="U13" s="310">
        <f>COUNTIF('Január-December'!W307:W336,"*Z*")</f>
        <v>17</v>
      </c>
      <c r="V13" s="87">
        <f>COUNTIF('Január-December'!W307:W336,"*D*")</f>
        <v>13</v>
      </c>
      <c r="W13" s="87">
        <f>COUNTIF('Január-December'!W307:W336,"*K*")</f>
        <v>0</v>
      </c>
      <c r="X13" s="87">
        <f>COUNTIF('Január-December'!W307:W336,"*S*")</f>
        <v>3</v>
      </c>
      <c r="Y13" s="87">
        <f>COUNTIF('Január-December'!W306:W335,"*U*")</f>
        <v>6</v>
      </c>
      <c r="Z13" s="87">
        <f t="shared" si="2"/>
        <v>0</v>
      </c>
      <c r="AA13" s="87">
        <f>COUNTIF('Január-December'!AB307:AB336,"*SSP*")</f>
        <v>0</v>
      </c>
      <c r="AB13" s="87">
        <f>COUNTIF('Január-December'!AB307:AB336,"*NSP*")</f>
        <v>0</v>
      </c>
      <c r="AC13" s="87">
        <f>COUNTIF('Január-December'!AB307:AB336,"*poprašok*")</f>
        <v>0</v>
      </c>
    </row>
    <row r="14" spans="1:30" s="89" customFormat="1" ht="15" thickBot="1" x14ac:dyDescent="0.35">
      <c r="A14" s="88" t="s">
        <v>34</v>
      </c>
      <c r="B14" s="89">
        <f>COUNTIF('Január-December'!E337:E367,"&lt;=-10")</f>
        <v>0</v>
      </c>
      <c r="C14" s="89">
        <f>COUNTIF('Január-December'!E337:E367,"&lt;=-0.1")</f>
        <v>8</v>
      </c>
      <c r="D14" s="89">
        <f>COUNTIF('Január-December'!F337:F367,"&lt;=0")</f>
        <v>23</v>
      </c>
      <c r="E14" s="89">
        <f>COUNTIF('Január-December'!E337:E367,"&gt;="&amp;25)</f>
        <v>0</v>
      </c>
      <c r="F14" s="89">
        <f>COUNTIF('Január-December'!E337:E367,"&gt;=30")</f>
        <v>0</v>
      </c>
      <c r="G14" s="89">
        <f>COUNTIF('Január-December'!AB337:AB367,"*tropická noc*")</f>
        <v>0</v>
      </c>
      <c r="H14" s="89">
        <f>COUNTIF(búrky!E225:E227,"*w*")</f>
        <v>0</v>
      </c>
      <c r="I14" s="89">
        <f>COUNTIF(búrky!E225:E227,"*P*")</f>
        <v>0</v>
      </c>
      <c r="J14" s="292">
        <f>COUNTIF(búrky!E225:E227,"*L*")</f>
        <v>0</v>
      </c>
      <c r="K14" s="290">
        <f>COUNTIF(búrky!E225:E227,"*V*")</f>
        <v>0</v>
      </c>
      <c r="L14" s="94">
        <f t="shared" si="1"/>
        <v>0</v>
      </c>
      <c r="M14" s="89">
        <f>COUNTIF('Január-December'!AB337:AB367,"*zákal*")</f>
        <v>0</v>
      </c>
      <c r="N14" s="89">
        <f>COUNTIF('Január-December'!AB337:AB367,"*dymno*")</f>
        <v>2</v>
      </c>
      <c r="O14" s="89">
        <f>COUNTIF('Január-December'!AB337:AB367,"*hmla*")</f>
        <v>11</v>
      </c>
      <c r="P14" s="89">
        <f>COUNTIF('Január-December'!AB337:AB367,"*slnečný deň*")</f>
        <v>1</v>
      </c>
      <c r="Q14" s="311">
        <f>COUNTIF('Január-December'!AB337:AB367,"*0/8*")</f>
        <v>0</v>
      </c>
      <c r="R14" s="311">
        <f>COUNTIF('Január-December'!AB337:AB367,"*8/8*")</f>
        <v>15</v>
      </c>
      <c r="S14" s="89">
        <f t="shared" si="0"/>
        <v>24</v>
      </c>
      <c r="T14" s="311">
        <f>COUNTIF('Január-December'!W337:W367,"*N*")</f>
        <v>4</v>
      </c>
      <c r="U14" s="311">
        <f>COUNTIF('Január-December'!W337:W367,"*Z*")</f>
        <v>20</v>
      </c>
      <c r="V14" s="89">
        <f>COUNTIF('Január-December'!W337:W367,"*D*")</f>
        <v>17</v>
      </c>
      <c r="W14" s="89">
        <f>COUNTIF('Január-December'!W337:W367,"*K*")</f>
        <v>0</v>
      </c>
      <c r="X14" s="89">
        <f>COUNTIF('Január-December'!W337:W367,"*S*")</f>
        <v>14</v>
      </c>
      <c r="Y14" s="89">
        <f>COUNTIF('Január-December'!W336:W366,"*U*")</f>
        <v>0</v>
      </c>
      <c r="Z14" s="87">
        <f t="shared" si="2"/>
        <v>20</v>
      </c>
      <c r="AA14" s="89">
        <f>COUNTIF('Január-December'!AB337:AB367,"*SSP*")</f>
        <v>11</v>
      </c>
      <c r="AB14" s="89">
        <f>COUNTIF('Január-December'!AB337:AB367,"*NSP*")</f>
        <v>8</v>
      </c>
      <c r="AC14" s="89">
        <f>COUNTIF('Január-December'!AB337:AB367,"*poprašok*")</f>
        <v>1</v>
      </c>
    </row>
    <row r="15" spans="1:30" s="91" customFormat="1" ht="16.2" thickBot="1" x14ac:dyDescent="0.35">
      <c r="A15" s="90">
        <v>2021</v>
      </c>
      <c r="B15" s="293">
        <f t="shared" ref="B15:AC15" si="3">SUM(B3:B14)</f>
        <v>0</v>
      </c>
      <c r="C15" s="91">
        <f t="shared" si="3"/>
        <v>16</v>
      </c>
      <c r="D15" s="91">
        <f t="shared" si="3"/>
        <v>138</v>
      </c>
      <c r="E15" s="91">
        <f t="shared" si="3"/>
        <v>82</v>
      </c>
      <c r="F15" s="91">
        <f t="shared" si="3"/>
        <v>31</v>
      </c>
      <c r="G15" s="91">
        <f t="shared" si="3"/>
        <v>1</v>
      </c>
      <c r="H15" s="91">
        <f t="shared" si="3"/>
        <v>37</v>
      </c>
      <c r="I15" s="91">
        <f t="shared" si="3"/>
        <v>18</v>
      </c>
      <c r="J15" s="97">
        <f t="shared" si="3"/>
        <v>10</v>
      </c>
      <c r="K15" s="93">
        <f t="shared" si="3"/>
        <v>19</v>
      </c>
      <c r="L15" s="95">
        <f>SUM(L3:L14)</f>
        <v>47</v>
      </c>
      <c r="M15" s="95">
        <f>SUM(M3:M14)</f>
        <v>4</v>
      </c>
      <c r="N15" s="95">
        <f>SUM(N3:N14)</f>
        <v>36</v>
      </c>
      <c r="O15" s="91">
        <f t="shared" si="3"/>
        <v>105</v>
      </c>
      <c r="P15" s="95">
        <f>SUM(P3:P14)</f>
        <v>52</v>
      </c>
      <c r="Q15" s="312">
        <f t="shared" si="3"/>
        <v>3</v>
      </c>
      <c r="R15" s="312">
        <f t="shared" si="3"/>
        <v>83</v>
      </c>
      <c r="S15" s="91">
        <f t="shared" si="3"/>
        <v>213</v>
      </c>
      <c r="T15" s="312">
        <f t="shared" si="3"/>
        <v>46</v>
      </c>
      <c r="U15" s="312">
        <f t="shared" si="3"/>
        <v>167</v>
      </c>
      <c r="V15" s="91">
        <f t="shared" si="3"/>
        <v>165</v>
      </c>
      <c r="W15" s="91">
        <f t="shared" si="3"/>
        <v>3</v>
      </c>
      <c r="X15" s="91">
        <f t="shared" si="3"/>
        <v>65</v>
      </c>
      <c r="Y15" s="91">
        <f>SUM(Y3:Y14)</f>
        <v>16</v>
      </c>
      <c r="Z15" s="91">
        <f t="shared" si="3"/>
        <v>69</v>
      </c>
      <c r="AA15" s="91">
        <f t="shared" si="3"/>
        <v>45</v>
      </c>
      <c r="AB15" s="97">
        <f t="shared" si="3"/>
        <v>20</v>
      </c>
      <c r="AC15" s="296">
        <f t="shared" si="3"/>
        <v>4</v>
      </c>
      <c r="AD15" s="291"/>
    </row>
  </sheetData>
  <mergeCells count="6">
    <mergeCell ref="M1:R1"/>
    <mergeCell ref="Z1:AC1"/>
    <mergeCell ref="A1:A2"/>
    <mergeCell ref="B1:G1"/>
    <mergeCell ref="H1:L1"/>
    <mergeCell ref="S1:Y1"/>
  </mergeCells>
  <conditionalFormatting sqref="B3:L14 N3:AA14">
    <cfRule type="cellIs" dxfId="7" priority="7" operator="greaterThan">
      <formula>0</formula>
    </cfRule>
    <cfRule type="cellIs" dxfId="6" priority="8" operator="equal">
      <formula>0</formula>
    </cfRule>
  </conditionalFormatting>
  <conditionalFormatting sqref="AC3:AC14">
    <cfRule type="cellIs" dxfId="5" priority="5" operator="greaterThan">
      <formula>0</formula>
    </cfRule>
    <cfRule type="cellIs" dxfId="4" priority="6" operator="equal">
      <formula>0</formula>
    </cfRule>
  </conditionalFormatting>
  <conditionalFormatting sqref="AB3:AB14">
    <cfRule type="cellIs" dxfId="3" priority="3" operator="greaterThan">
      <formula>0</formula>
    </cfRule>
    <cfRule type="cellIs" dxfId="2" priority="4" operator="equal">
      <formula>0</formula>
    </cfRule>
  </conditionalFormatting>
  <conditionalFormatting sqref="M3:M14">
    <cfRule type="cellIs" dxfId="1" priority="1" operator="greaterThan">
      <formula>0</formula>
    </cfRule>
    <cfRule type="cellIs" dxfId="0" priority="2" operator="equal">
      <formula>0</formula>
    </cfRule>
  </conditionalFormatting>
  <pageMargins left="0.7" right="0.7" top="0.75" bottom="0.75" header="0.3" footer="0.3"/>
  <ignoredErrors>
    <ignoredError sqref="B14:C14 B3:C3 D3:G3 B4:C4 D4:G4 B5:C5 D5:G5 B6:C6 D6:G6 B7:C7 D7:G7 B8:C8 D8:G8 B9:C9 D9:G9 B10:C10 D10:G10 B11:C11 D11:G11 B12:C12 D12:G12 B13:C13 D13:G13 D14:G14" formulaRange="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4</vt:i4>
      </vt:variant>
    </vt:vector>
  </HeadingPairs>
  <TitlesOfParts>
    <vt:vector size="4" baseType="lpstr">
      <vt:lpstr>Január-December</vt:lpstr>
      <vt:lpstr>búrky</vt:lpstr>
      <vt:lpstr>2021</vt:lpstr>
      <vt:lpstr>2021 dni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Fedor</dc:creator>
  <cp:lastModifiedBy>Tomáš Fedor</cp:lastModifiedBy>
  <dcterms:created xsi:type="dcterms:W3CDTF">2015-02-14T11:41:41Z</dcterms:created>
  <dcterms:modified xsi:type="dcterms:W3CDTF">2022-01-01T14:11:45Z</dcterms:modified>
</cp:coreProperties>
</file>