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x data\meteo data\"/>
    </mc:Choice>
  </mc:AlternateContent>
  <xr:revisionPtr revIDLastSave="0" documentId="13_ncr:1_{B4D80724-27FF-47C2-965C-056BF02B81F3}" xr6:coauthVersionLast="47" xr6:coauthVersionMax="47" xr10:uidLastSave="{00000000-0000-0000-0000-000000000000}"/>
  <bookViews>
    <workbookView xWindow="-108" yWindow="-108" windowWidth="23256" windowHeight="12576" tabRatio="772" xr2:uid="{00000000-000D-0000-FFFF-FFFF00000000}"/>
  </bookViews>
  <sheets>
    <sheet name="Január-December" sheetId="2" r:id="rId1"/>
    <sheet name="búrky" sheetId="17" r:id="rId2"/>
    <sheet name="2022" sheetId="1" r:id="rId3"/>
    <sheet name="2022 dni" sheetId="20" r:id="rId4"/>
  </sheets>
  <definedNames>
    <definedName name="_xlnm._FilterDatabase" localSheetId="2" hidden="1">'2022'!$A$3:$A$15</definedName>
    <definedName name="Indoor_Temperature_°C">#REF!</definedName>
    <definedName name="Ti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7" i="2" l="1"/>
  <c r="G367" i="2"/>
  <c r="H366" i="2"/>
  <c r="G366" i="2"/>
  <c r="H365" i="2"/>
  <c r="G365" i="2"/>
  <c r="H364" i="2"/>
  <c r="G364" i="2"/>
  <c r="H363" i="2"/>
  <c r="G363" i="2"/>
  <c r="H362" i="2"/>
  <c r="G362" i="2"/>
  <c r="H361" i="2"/>
  <c r="G361" i="2"/>
  <c r="H360" i="2"/>
  <c r="G360" i="2"/>
  <c r="H359" i="2"/>
  <c r="G359" i="2"/>
  <c r="H358" i="2"/>
  <c r="G358" i="2"/>
  <c r="H357" i="2"/>
  <c r="G357" i="2"/>
  <c r="H356" i="2"/>
  <c r="G356" i="2"/>
  <c r="H355" i="2"/>
  <c r="G355" i="2"/>
  <c r="H354" i="2"/>
  <c r="G354" i="2"/>
  <c r="H353" i="2"/>
  <c r="G353" i="2"/>
  <c r="H352" i="2"/>
  <c r="G352" i="2"/>
  <c r="H351" i="2"/>
  <c r="G351" i="2"/>
  <c r="H350" i="2"/>
  <c r="G350" i="2"/>
  <c r="H349" i="2"/>
  <c r="G349" i="2"/>
  <c r="H348" i="2"/>
  <c r="G348" i="2"/>
  <c r="H347" i="2"/>
  <c r="G347" i="2"/>
  <c r="H346" i="2"/>
  <c r="G346" i="2"/>
  <c r="H345" i="2"/>
  <c r="G345" i="2"/>
  <c r="H344" i="2"/>
  <c r="G344" i="2"/>
  <c r="H343" i="2"/>
  <c r="G343" i="2"/>
  <c r="H342" i="2"/>
  <c r="G342" i="2"/>
  <c r="H341" i="2"/>
  <c r="G341" i="2"/>
  <c r="H340" i="2"/>
  <c r="G340" i="2"/>
  <c r="H339" i="2"/>
  <c r="G339" i="2"/>
  <c r="H338" i="2"/>
  <c r="G338" i="2"/>
  <c r="H337" i="2"/>
  <c r="G337" i="2"/>
  <c r="H336" i="2"/>
  <c r="G336" i="2"/>
  <c r="H335" i="2"/>
  <c r="G335" i="2"/>
  <c r="H334" i="2"/>
  <c r="G334" i="2"/>
  <c r="H333" i="2"/>
  <c r="G333" i="2"/>
  <c r="H332" i="2"/>
  <c r="G332" i="2"/>
  <c r="H331" i="2"/>
  <c r="G331" i="2"/>
  <c r="H330" i="2"/>
  <c r="G330" i="2"/>
  <c r="H329" i="2"/>
  <c r="G329" i="2"/>
  <c r="H328" i="2"/>
  <c r="G328" i="2"/>
  <c r="H327" i="2"/>
  <c r="G327" i="2"/>
  <c r="H326" i="2"/>
  <c r="G326" i="2"/>
  <c r="H325" i="2"/>
  <c r="G325" i="2"/>
  <c r="H324" i="2"/>
  <c r="G324" i="2"/>
  <c r="H323" i="2"/>
  <c r="G323" i="2"/>
  <c r="H322" i="2"/>
  <c r="G322" i="2"/>
  <c r="H321" i="2"/>
  <c r="G321" i="2"/>
  <c r="H320" i="2"/>
  <c r="G320" i="2"/>
  <c r="H319" i="2"/>
  <c r="G319" i="2"/>
  <c r="H318" i="2"/>
  <c r="G318" i="2"/>
  <c r="H317" i="2"/>
  <c r="G317" i="2"/>
  <c r="H316" i="2"/>
  <c r="G316" i="2"/>
  <c r="H315" i="2"/>
  <c r="G315" i="2"/>
  <c r="H314" i="2"/>
  <c r="G314" i="2"/>
  <c r="H313" i="2"/>
  <c r="G313" i="2"/>
  <c r="H312" i="2"/>
  <c r="G312" i="2"/>
  <c r="H311" i="2"/>
  <c r="G311" i="2"/>
  <c r="H310" i="2"/>
  <c r="G310" i="2"/>
  <c r="H309" i="2"/>
  <c r="G309" i="2"/>
  <c r="H308" i="2"/>
  <c r="G308" i="2"/>
  <c r="H307" i="2"/>
  <c r="G307" i="2"/>
  <c r="H306" i="2"/>
  <c r="G306" i="2"/>
  <c r="H305" i="2"/>
  <c r="G305" i="2"/>
  <c r="H304" i="2"/>
  <c r="G304" i="2"/>
  <c r="H303" i="2"/>
  <c r="G303" i="2"/>
  <c r="H302" i="2"/>
  <c r="G302" i="2"/>
  <c r="H301" i="2"/>
  <c r="G301" i="2"/>
  <c r="H300" i="2"/>
  <c r="G300" i="2"/>
  <c r="H299" i="2"/>
  <c r="G299" i="2"/>
  <c r="H298" i="2"/>
  <c r="G298" i="2"/>
  <c r="H297" i="2"/>
  <c r="G297" i="2"/>
  <c r="H296" i="2"/>
  <c r="G296" i="2"/>
  <c r="H295" i="2"/>
  <c r="G295" i="2"/>
  <c r="H294" i="2"/>
  <c r="G294" i="2"/>
  <c r="H293" i="2"/>
  <c r="G293" i="2"/>
  <c r="H292" i="2"/>
  <c r="G292" i="2"/>
  <c r="H291" i="2"/>
  <c r="G291" i="2"/>
  <c r="H290" i="2"/>
  <c r="G290" i="2"/>
  <c r="H289" i="2"/>
  <c r="G289" i="2"/>
  <c r="H288" i="2"/>
  <c r="G288" i="2"/>
  <c r="H287" i="2"/>
  <c r="G287" i="2"/>
  <c r="H286" i="2"/>
  <c r="G286" i="2"/>
  <c r="H285" i="2"/>
  <c r="G285" i="2"/>
  <c r="H284" i="2"/>
  <c r="G284" i="2"/>
  <c r="H283" i="2"/>
  <c r="G283" i="2"/>
  <c r="H282" i="2"/>
  <c r="G282" i="2"/>
  <c r="H281" i="2"/>
  <c r="G281" i="2"/>
  <c r="H280" i="2"/>
  <c r="G280" i="2"/>
  <c r="H279" i="2"/>
  <c r="G279" i="2"/>
  <c r="H278" i="2"/>
  <c r="G278" i="2"/>
  <c r="H277" i="2"/>
  <c r="G277" i="2"/>
  <c r="H276" i="2"/>
  <c r="G276" i="2"/>
  <c r="H275" i="2"/>
  <c r="G275" i="2"/>
  <c r="H274" i="2"/>
  <c r="G274" i="2"/>
  <c r="H273" i="2"/>
  <c r="G273" i="2"/>
  <c r="H272" i="2"/>
  <c r="G272" i="2"/>
  <c r="H271" i="2"/>
  <c r="G271" i="2"/>
  <c r="H270" i="2"/>
  <c r="G270" i="2"/>
  <c r="H269" i="2"/>
  <c r="G269" i="2"/>
  <c r="H268" i="2"/>
  <c r="G268" i="2"/>
  <c r="H267" i="2"/>
  <c r="G267" i="2"/>
  <c r="H266" i="2"/>
  <c r="G266" i="2"/>
  <c r="H265" i="2"/>
  <c r="G265" i="2"/>
  <c r="H264" i="2"/>
  <c r="G264" i="2"/>
  <c r="H263" i="2"/>
  <c r="G263" i="2"/>
  <c r="H262" i="2"/>
  <c r="G262" i="2"/>
  <c r="H261" i="2"/>
  <c r="G261" i="2"/>
  <c r="H260" i="2"/>
  <c r="G260" i="2"/>
  <c r="H259" i="2"/>
  <c r="G259" i="2"/>
  <c r="H258" i="2"/>
  <c r="G258" i="2"/>
  <c r="H257" i="2"/>
  <c r="G257" i="2"/>
  <c r="H256" i="2"/>
  <c r="G256" i="2"/>
  <c r="H255" i="2"/>
  <c r="G255" i="2"/>
  <c r="H254" i="2"/>
  <c r="G254" i="2"/>
  <c r="H253" i="2"/>
  <c r="G253" i="2"/>
  <c r="H252" i="2"/>
  <c r="G252" i="2"/>
  <c r="H251" i="2"/>
  <c r="G251" i="2"/>
  <c r="H250" i="2"/>
  <c r="G250" i="2"/>
  <c r="H249" i="2"/>
  <c r="G249" i="2"/>
  <c r="H248" i="2"/>
  <c r="G248" i="2"/>
  <c r="H247" i="2"/>
  <c r="G247" i="2"/>
  <c r="H246" i="2"/>
  <c r="G246" i="2"/>
  <c r="H251" i="17"/>
  <c r="H250" i="17"/>
  <c r="H249" i="17"/>
  <c r="H248" i="17"/>
  <c r="H246" i="17"/>
  <c r="H245" i="17"/>
  <c r="H244" i="17"/>
  <c r="H243" i="17"/>
  <c r="H242" i="17"/>
  <c r="H237" i="17"/>
  <c r="H236" i="17"/>
  <c r="H235" i="17"/>
  <c r="H234" i="17"/>
  <c r="H232" i="17"/>
  <c r="H231" i="17"/>
  <c r="H230" i="17"/>
  <c r="H229" i="17"/>
  <c r="H228" i="17"/>
  <c r="H222" i="17"/>
  <c r="H221" i="17"/>
  <c r="H220" i="17"/>
  <c r="H219" i="17"/>
  <c r="H217" i="17"/>
  <c r="H216" i="17"/>
  <c r="H215" i="17"/>
  <c r="H214" i="17"/>
  <c r="H213" i="17"/>
  <c r="H207" i="17"/>
  <c r="H206" i="17"/>
  <c r="H205" i="17"/>
  <c r="H204" i="17"/>
  <c r="H202" i="17"/>
  <c r="H201" i="17"/>
  <c r="H200" i="17"/>
  <c r="H199" i="17"/>
  <c r="H198" i="17"/>
  <c r="H192" i="17"/>
  <c r="H191" i="17"/>
  <c r="H190" i="17"/>
  <c r="H189" i="17"/>
  <c r="H187" i="17"/>
  <c r="H186" i="17"/>
  <c r="H185" i="17"/>
  <c r="H184" i="17"/>
  <c r="H183" i="17"/>
  <c r="H174" i="17"/>
  <c r="H173" i="17"/>
  <c r="H172" i="17"/>
  <c r="H171" i="17"/>
  <c r="H169" i="17"/>
  <c r="H168" i="17"/>
  <c r="H167" i="17"/>
  <c r="H166" i="17"/>
  <c r="H165" i="17"/>
  <c r="H147" i="17"/>
  <c r="H146" i="17"/>
  <c r="H145" i="17"/>
  <c r="H144" i="17"/>
  <c r="H142" i="17"/>
  <c r="H141" i="17"/>
  <c r="H140" i="17"/>
  <c r="H139" i="17"/>
  <c r="H138" i="17"/>
  <c r="H113" i="17"/>
  <c r="H112" i="17"/>
  <c r="H111" i="17"/>
  <c r="H110" i="17"/>
  <c r="H108" i="17"/>
  <c r="H107" i="17"/>
  <c r="H106" i="17"/>
  <c r="H105" i="17"/>
  <c r="H104" i="17"/>
  <c r="H84" i="17"/>
  <c r="H83" i="17"/>
  <c r="H82" i="17"/>
  <c r="H81" i="17"/>
  <c r="H79" i="17"/>
  <c r="H78" i="17"/>
  <c r="H77" i="17"/>
  <c r="H76" i="17"/>
  <c r="H75" i="17"/>
  <c r="H64" i="17"/>
  <c r="H63" i="17"/>
  <c r="H62" i="17"/>
  <c r="H61" i="17"/>
  <c r="H59" i="17"/>
  <c r="H58" i="17"/>
  <c r="H57" i="17"/>
  <c r="H56" i="17"/>
  <c r="H55" i="17"/>
  <c r="H46" i="17"/>
  <c r="H45" i="17"/>
  <c r="H44" i="17"/>
  <c r="H43" i="17"/>
  <c r="H41" i="17"/>
  <c r="H40" i="17"/>
  <c r="H39" i="17"/>
  <c r="H38" i="17"/>
  <c r="H37" i="17"/>
  <c r="H31" i="17"/>
  <c r="H30" i="17"/>
  <c r="H29" i="17"/>
  <c r="H28" i="17"/>
  <c r="H26" i="17"/>
  <c r="H25" i="17"/>
  <c r="H24" i="17"/>
  <c r="H23" i="17"/>
  <c r="H22" i="17"/>
  <c r="H17" i="17"/>
  <c r="H16" i="17"/>
  <c r="H15" i="17"/>
  <c r="H14" i="17"/>
  <c r="H12" i="17"/>
  <c r="H11" i="17"/>
  <c r="H10" i="17"/>
  <c r="H9" i="17"/>
  <c r="H8" i="17"/>
  <c r="AC14" i="20" l="1"/>
  <c r="AB14" i="20"/>
  <c r="AA14" i="20"/>
  <c r="Y14" i="20"/>
  <c r="X14" i="20"/>
  <c r="W14" i="20"/>
  <c r="V14" i="20"/>
  <c r="U14" i="20"/>
  <c r="T14" i="20"/>
  <c r="R14" i="20"/>
  <c r="Q14" i="20"/>
  <c r="P14" i="20"/>
  <c r="O14" i="20"/>
  <c r="N14" i="20"/>
  <c r="M14" i="20"/>
  <c r="K14" i="20"/>
  <c r="J14" i="20"/>
  <c r="I14" i="20"/>
  <c r="H14" i="20"/>
  <c r="G14" i="20"/>
  <c r="F14" i="20"/>
  <c r="E14" i="20"/>
  <c r="D14" i="20"/>
  <c r="C14" i="20"/>
  <c r="B14" i="20"/>
  <c r="AC13" i="20"/>
  <c r="AB13" i="20"/>
  <c r="AA13" i="20"/>
  <c r="Y13" i="20"/>
  <c r="X13" i="20"/>
  <c r="W13" i="20"/>
  <c r="V13" i="20"/>
  <c r="U13" i="20"/>
  <c r="T13" i="20"/>
  <c r="R13" i="20"/>
  <c r="Q13" i="20"/>
  <c r="P13" i="20"/>
  <c r="O13" i="20"/>
  <c r="N13" i="20"/>
  <c r="M13" i="20"/>
  <c r="K13" i="20"/>
  <c r="J13" i="20"/>
  <c r="I13" i="20"/>
  <c r="H13" i="20"/>
  <c r="G13" i="20"/>
  <c r="F13" i="20"/>
  <c r="E13" i="20"/>
  <c r="D13" i="20"/>
  <c r="C13" i="20"/>
  <c r="B13" i="20"/>
  <c r="AC12" i="20"/>
  <c r="AB12" i="20"/>
  <c r="AA12" i="20"/>
  <c r="Y12" i="20"/>
  <c r="X12" i="20"/>
  <c r="W12" i="20"/>
  <c r="V12" i="20"/>
  <c r="U12" i="20"/>
  <c r="T12" i="20"/>
  <c r="R12" i="20"/>
  <c r="Q12" i="20"/>
  <c r="P12" i="20"/>
  <c r="O12" i="20"/>
  <c r="N12" i="20"/>
  <c r="M12" i="20"/>
  <c r="K12" i="20"/>
  <c r="J12" i="20"/>
  <c r="I12" i="20"/>
  <c r="H12" i="20"/>
  <c r="G12" i="20"/>
  <c r="F12" i="20"/>
  <c r="E12" i="20"/>
  <c r="D12" i="20"/>
  <c r="C12" i="20"/>
  <c r="B12" i="20"/>
  <c r="AC11" i="20"/>
  <c r="AB11" i="20"/>
  <c r="AA11" i="20"/>
  <c r="Y11" i="20"/>
  <c r="X11" i="20"/>
  <c r="W11" i="20"/>
  <c r="V11" i="20"/>
  <c r="U11" i="20"/>
  <c r="T11" i="20"/>
  <c r="R11" i="20"/>
  <c r="Q11" i="20"/>
  <c r="P11" i="20"/>
  <c r="O11" i="20"/>
  <c r="N11" i="20"/>
  <c r="M11" i="20"/>
  <c r="K11" i="20"/>
  <c r="J11" i="20"/>
  <c r="I11" i="20"/>
  <c r="H11" i="20"/>
  <c r="G11" i="20"/>
  <c r="F11" i="20"/>
  <c r="E11" i="20"/>
  <c r="D11" i="20"/>
  <c r="C11" i="20"/>
  <c r="B11" i="20"/>
  <c r="AC10" i="20"/>
  <c r="AB10" i="20"/>
  <c r="AA10" i="20"/>
  <c r="Y10" i="20"/>
  <c r="X10" i="20"/>
  <c r="W10" i="20"/>
  <c r="V10" i="20"/>
  <c r="U10" i="20"/>
  <c r="T10" i="20"/>
  <c r="R10" i="20"/>
  <c r="Q10" i="20"/>
  <c r="P10" i="20"/>
  <c r="O10" i="20"/>
  <c r="N10" i="20"/>
  <c r="M10" i="20"/>
  <c r="K10" i="20"/>
  <c r="J10" i="20"/>
  <c r="I10" i="20"/>
  <c r="H10" i="20"/>
  <c r="G10" i="20"/>
  <c r="F10" i="20"/>
  <c r="E10" i="20"/>
  <c r="D10" i="20"/>
  <c r="C10" i="20"/>
  <c r="B10" i="20"/>
  <c r="AC9" i="20"/>
  <c r="AB9" i="20"/>
  <c r="AA9" i="20"/>
  <c r="Y9" i="20"/>
  <c r="X9" i="20"/>
  <c r="W9" i="20"/>
  <c r="V9" i="20"/>
  <c r="U9" i="20"/>
  <c r="T9" i="20"/>
  <c r="R9" i="20"/>
  <c r="Q9" i="20"/>
  <c r="P9" i="20"/>
  <c r="O9" i="20"/>
  <c r="N9" i="20"/>
  <c r="M9" i="20"/>
  <c r="K9" i="20"/>
  <c r="J9" i="20"/>
  <c r="I9" i="20"/>
  <c r="L9" i="20" s="1"/>
  <c r="H9" i="20"/>
  <c r="G9" i="20"/>
  <c r="F9" i="20"/>
  <c r="E9" i="20"/>
  <c r="D9" i="20"/>
  <c r="C9" i="20"/>
  <c r="B9" i="20"/>
  <c r="AC8" i="20"/>
  <c r="AB8" i="20"/>
  <c r="AA8" i="20"/>
  <c r="Y8" i="20"/>
  <c r="X8" i="20"/>
  <c r="W8" i="20"/>
  <c r="V8" i="20"/>
  <c r="U8" i="20"/>
  <c r="T8" i="20"/>
  <c r="R8" i="20"/>
  <c r="Q8" i="20"/>
  <c r="P8" i="20"/>
  <c r="O8" i="20"/>
  <c r="N8" i="20"/>
  <c r="M8" i="20"/>
  <c r="K8" i="20"/>
  <c r="J8" i="20"/>
  <c r="I8" i="20"/>
  <c r="H8" i="20"/>
  <c r="G8" i="20"/>
  <c r="F8" i="20"/>
  <c r="E8" i="20"/>
  <c r="D8" i="20"/>
  <c r="C8" i="20"/>
  <c r="B8" i="20"/>
  <c r="AC7" i="20"/>
  <c r="AB7" i="20"/>
  <c r="AA7" i="20"/>
  <c r="Y7" i="20"/>
  <c r="X7" i="20"/>
  <c r="W7" i="20"/>
  <c r="V7" i="20"/>
  <c r="U7" i="20"/>
  <c r="T7" i="20"/>
  <c r="R7" i="20"/>
  <c r="Q7" i="20"/>
  <c r="P7" i="20"/>
  <c r="O7" i="20"/>
  <c r="N7" i="20"/>
  <c r="M7" i="20"/>
  <c r="K7" i="20"/>
  <c r="J7" i="20"/>
  <c r="I7" i="20"/>
  <c r="H7" i="20"/>
  <c r="G7" i="20"/>
  <c r="F7" i="20"/>
  <c r="E7" i="20"/>
  <c r="D7" i="20"/>
  <c r="C7" i="20"/>
  <c r="B7" i="20"/>
  <c r="AC6" i="20"/>
  <c r="AB6" i="20"/>
  <c r="AA6" i="20"/>
  <c r="Y6" i="20"/>
  <c r="X6" i="20"/>
  <c r="W6" i="20"/>
  <c r="V6" i="20"/>
  <c r="U6" i="20"/>
  <c r="T6" i="20"/>
  <c r="R6" i="20"/>
  <c r="Q6" i="20"/>
  <c r="P6" i="20"/>
  <c r="O6" i="20"/>
  <c r="N6" i="20"/>
  <c r="M6" i="20"/>
  <c r="K6" i="20"/>
  <c r="J6" i="20"/>
  <c r="I6" i="20"/>
  <c r="H6" i="20"/>
  <c r="G6" i="20"/>
  <c r="F6" i="20"/>
  <c r="E6" i="20"/>
  <c r="D6" i="20"/>
  <c r="C6" i="20"/>
  <c r="B6" i="20"/>
  <c r="AC5" i="20"/>
  <c r="AB5" i="20"/>
  <c r="AA5" i="20"/>
  <c r="Y5" i="20"/>
  <c r="X5" i="20"/>
  <c r="W5" i="20"/>
  <c r="V5" i="20"/>
  <c r="U5" i="20"/>
  <c r="T5" i="20"/>
  <c r="R5" i="20"/>
  <c r="Q5" i="20"/>
  <c r="P5" i="20"/>
  <c r="O5" i="20"/>
  <c r="N5" i="20"/>
  <c r="M5" i="20"/>
  <c r="K5" i="20"/>
  <c r="J5" i="20"/>
  <c r="I5" i="20"/>
  <c r="H5" i="20"/>
  <c r="G5" i="20"/>
  <c r="F5" i="20"/>
  <c r="E5" i="20"/>
  <c r="D5" i="20"/>
  <c r="C5" i="20"/>
  <c r="B5" i="20"/>
  <c r="AC4" i="20"/>
  <c r="AB4" i="20"/>
  <c r="AA4" i="20"/>
  <c r="Y4" i="20"/>
  <c r="X4" i="20"/>
  <c r="W4" i="20"/>
  <c r="V4" i="20"/>
  <c r="U4" i="20"/>
  <c r="T4" i="20"/>
  <c r="R4" i="20"/>
  <c r="Q4" i="20"/>
  <c r="P4" i="20"/>
  <c r="O4" i="20"/>
  <c r="N4" i="20"/>
  <c r="M4" i="20"/>
  <c r="K4" i="20"/>
  <c r="J4" i="20"/>
  <c r="I4" i="20"/>
  <c r="H4" i="20"/>
  <c r="G4" i="20"/>
  <c r="F4" i="20"/>
  <c r="E4" i="20"/>
  <c r="D4" i="20"/>
  <c r="C4" i="20"/>
  <c r="B4" i="20"/>
  <c r="AC3" i="20"/>
  <c r="AB3" i="20"/>
  <c r="AA3" i="20"/>
  <c r="Y3" i="20"/>
  <c r="X3" i="20"/>
  <c r="W3" i="20"/>
  <c r="V3" i="20"/>
  <c r="U3" i="20"/>
  <c r="T3" i="20"/>
  <c r="R3" i="20"/>
  <c r="Q3" i="20"/>
  <c r="P3" i="20"/>
  <c r="O3" i="20"/>
  <c r="N3" i="20"/>
  <c r="M3" i="20"/>
  <c r="K3" i="20"/>
  <c r="J3" i="20"/>
  <c r="I3" i="20"/>
  <c r="H3" i="20"/>
  <c r="G3" i="20"/>
  <c r="F3" i="20"/>
  <c r="E3" i="20"/>
  <c r="D3" i="20"/>
  <c r="C3" i="20"/>
  <c r="B3" i="20"/>
  <c r="AF14" i="1"/>
  <c r="AE14" i="1"/>
  <c r="AD14" i="1"/>
  <c r="AC14" i="1"/>
  <c r="AB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F13" i="1"/>
  <c r="AE13" i="1"/>
  <c r="AD13" i="1"/>
  <c r="AC13" i="1"/>
  <c r="AB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F12" i="1"/>
  <c r="AE12" i="1"/>
  <c r="AD12" i="1"/>
  <c r="AC12" i="1"/>
  <c r="AB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F11" i="1"/>
  <c r="AE11" i="1"/>
  <c r="AD11" i="1"/>
  <c r="AC11" i="1"/>
  <c r="AB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F10" i="1"/>
  <c r="AE10" i="1"/>
  <c r="AD10" i="1"/>
  <c r="AC10" i="1"/>
  <c r="AB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G10" i="1"/>
  <c r="C10" i="1"/>
  <c r="B10" i="1"/>
  <c r="AF9" i="1"/>
  <c r="AE9" i="1"/>
  <c r="AD9" i="1"/>
  <c r="AC9" i="1"/>
  <c r="AB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G9" i="1"/>
  <c r="C9" i="1"/>
  <c r="B9" i="1"/>
  <c r="AF8" i="1"/>
  <c r="AE8" i="1"/>
  <c r="AD8" i="1"/>
  <c r="AC8" i="1"/>
  <c r="AB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G8" i="1"/>
  <c r="C8" i="1"/>
  <c r="B8" i="1"/>
  <c r="AF7" i="1"/>
  <c r="AE7" i="1"/>
  <c r="AD7" i="1"/>
  <c r="AC7" i="1"/>
  <c r="AB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G7" i="1"/>
  <c r="C7" i="1"/>
  <c r="B7" i="1"/>
  <c r="AF6" i="1"/>
  <c r="AE6" i="1"/>
  <c r="AD6" i="1"/>
  <c r="AC6" i="1"/>
  <c r="AB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G6" i="1"/>
  <c r="C6" i="1"/>
  <c r="B6" i="1"/>
  <c r="AF5" i="1"/>
  <c r="AE5" i="1"/>
  <c r="AD5" i="1"/>
  <c r="AC5" i="1"/>
  <c r="AB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G5" i="1"/>
  <c r="C5" i="1"/>
  <c r="B5" i="1"/>
  <c r="AF4" i="1"/>
  <c r="AE4" i="1"/>
  <c r="AD4" i="1"/>
  <c r="AC4" i="1"/>
  <c r="AB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G4" i="1"/>
  <c r="C4" i="1"/>
  <c r="B4" i="1"/>
  <c r="AF3" i="1"/>
  <c r="AE3" i="1"/>
  <c r="AD3" i="1"/>
  <c r="AC3" i="1"/>
  <c r="AB3" i="1"/>
  <c r="Z3" i="1"/>
  <c r="Y3" i="1"/>
  <c r="X3" i="1"/>
  <c r="W3" i="1"/>
  <c r="V3" i="1"/>
  <c r="U3" i="1"/>
  <c r="T3" i="1"/>
  <c r="S3" i="1"/>
  <c r="R3" i="1"/>
  <c r="Q3" i="1"/>
  <c r="P3" i="1"/>
  <c r="O3" i="1"/>
  <c r="O15" i="1" s="1"/>
  <c r="N3" i="1"/>
  <c r="M3" i="1"/>
  <c r="L3" i="1"/>
  <c r="K3" i="1"/>
  <c r="J3" i="1"/>
  <c r="G3" i="1"/>
  <c r="C3" i="1"/>
  <c r="B3" i="1"/>
  <c r="H245" i="2"/>
  <c r="G245" i="2"/>
  <c r="H244" i="2"/>
  <c r="G244" i="2"/>
  <c r="H243" i="2"/>
  <c r="G243" i="2"/>
  <c r="H242" i="2"/>
  <c r="G242" i="2"/>
  <c r="H241" i="2"/>
  <c r="G241" i="2"/>
  <c r="H240" i="2"/>
  <c r="G240" i="2"/>
  <c r="H239" i="2"/>
  <c r="G239" i="2"/>
  <c r="H238" i="2"/>
  <c r="G238" i="2"/>
  <c r="H237" i="2"/>
  <c r="G237" i="2"/>
  <c r="H236" i="2"/>
  <c r="G236" i="2"/>
  <c r="H235" i="2"/>
  <c r="G235" i="2"/>
  <c r="H234" i="2"/>
  <c r="G234" i="2"/>
  <c r="H233" i="2"/>
  <c r="G233" i="2"/>
  <c r="H232" i="2"/>
  <c r="G232" i="2"/>
  <c r="H231" i="2"/>
  <c r="G231" i="2"/>
  <c r="H230" i="2"/>
  <c r="G230" i="2"/>
  <c r="H229" i="2"/>
  <c r="G229" i="2"/>
  <c r="H228" i="2"/>
  <c r="G228" i="2"/>
  <c r="H227" i="2"/>
  <c r="G227" i="2"/>
  <c r="H226" i="2"/>
  <c r="G226" i="2"/>
  <c r="H225" i="2"/>
  <c r="G225" i="2"/>
  <c r="H224" i="2"/>
  <c r="G224" i="2"/>
  <c r="H223" i="2"/>
  <c r="G223" i="2"/>
  <c r="H222" i="2"/>
  <c r="G222" i="2"/>
  <c r="H221" i="2"/>
  <c r="G221" i="2"/>
  <c r="H220" i="2"/>
  <c r="G220" i="2"/>
  <c r="H219" i="2"/>
  <c r="G219" i="2"/>
  <c r="H218" i="2"/>
  <c r="G218" i="2"/>
  <c r="H217" i="2"/>
  <c r="G217" i="2"/>
  <c r="H216" i="2"/>
  <c r="G216" i="2"/>
  <c r="H215" i="2"/>
  <c r="G215" i="2"/>
  <c r="H214" i="2"/>
  <c r="G214" i="2"/>
  <c r="H213" i="2"/>
  <c r="G213" i="2"/>
  <c r="H212" i="2"/>
  <c r="G212" i="2"/>
  <c r="H211" i="2"/>
  <c r="G211" i="2"/>
  <c r="H210" i="2"/>
  <c r="G210" i="2"/>
  <c r="H209" i="2"/>
  <c r="G209" i="2"/>
  <c r="H208" i="2"/>
  <c r="G208" i="2"/>
  <c r="H207" i="2"/>
  <c r="G207" i="2"/>
  <c r="H206" i="2"/>
  <c r="G206" i="2"/>
  <c r="H205" i="2"/>
  <c r="G205" i="2"/>
  <c r="H204" i="2"/>
  <c r="G204" i="2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L8" i="20" l="1"/>
  <c r="L10" i="20"/>
  <c r="S4" i="20"/>
  <c r="L13" i="20"/>
  <c r="L3" i="20"/>
  <c r="L4" i="20"/>
  <c r="L14" i="20"/>
  <c r="K15" i="20"/>
  <c r="L6" i="20"/>
  <c r="L5" i="20"/>
  <c r="L7" i="20"/>
  <c r="I10" i="1"/>
  <c r="Q15" i="1"/>
  <c r="L12" i="20"/>
  <c r="H15" i="20"/>
  <c r="J15" i="20"/>
  <c r="E6" i="1"/>
  <c r="S6" i="20"/>
  <c r="I5" i="1"/>
  <c r="D4" i="1"/>
  <c r="E8" i="1"/>
  <c r="I4" i="1"/>
  <c r="I8" i="1"/>
  <c r="F9" i="1"/>
  <c r="S14" i="20"/>
  <c r="S3" i="20"/>
  <c r="E3" i="1"/>
  <c r="E5" i="1"/>
  <c r="D7" i="1"/>
  <c r="E9" i="1"/>
  <c r="E10" i="1"/>
  <c r="S5" i="20"/>
  <c r="H3" i="1"/>
  <c r="H5" i="1"/>
  <c r="H7" i="1"/>
  <c r="I9" i="1"/>
  <c r="H10" i="1"/>
  <c r="Z14" i="20"/>
  <c r="I3" i="1"/>
  <c r="I6" i="1"/>
  <c r="I7" i="1"/>
  <c r="Z5" i="20"/>
  <c r="Z7" i="20"/>
  <c r="S13" i="20"/>
  <c r="Z10" i="20"/>
  <c r="S8" i="20"/>
  <c r="N15" i="1"/>
  <c r="Z15" i="1"/>
  <c r="S10" i="20"/>
  <c r="F3" i="1"/>
  <c r="F5" i="1"/>
  <c r="F7" i="1"/>
  <c r="S15" i="1"/>
  <c r="AF15" i="1"/>
  <c r="M15" i="1"/>
  <c r="S12" i="20"/>
  <c r="Z8" i="20"/>
  <c r="D3" i="1"/>
  <c r="V15" i="1"/>
  <c r="Z9" i="20"/>
  <c r="D5" i="1"/>
  <c r="E4" i="1"/>
  <c r="F6" i="1"/>
  <c r="F8" i="1"/>
  <c r="F10" i="1"/>
  <c r="E7" i="1"/>
  <c r="H9" i="1"/>
  <c r="D6" i="1"/>
  <c r="D8" i="1"/>
  <c r="D10" i="1"/>
  <c r="F4" i="1"/>
  <c r="Y15" i="1"/>
  <c r="S7" i="20"/>
  <c r="Z12" i="20"/>
  <c r="D9" i="1"/>
  <c r="W15" i="1"/>
  <c r="H4" i="1"/>
  <c r="H6" i="1"/>
  <c r="H8" i="1"/>
  <c r="C15" i="1"/>
  <c r="Z3" i="20"/>
  <c r="Z4" i="20"/>
  <c r="S9" i="20"/>
  <c r="Z13" i="20"/>
  <c r="Z6" i="20"/>
  <c r="X15" i="1"/>
  <c r="U15" i="1"/>
  <c r="R15" i="1"/>
  <c r="AE15" i="1"/>
  <c r="M15" i="20"/>
  <c r="AD15" i="1"/>
  <c r="AB15" i="20"/>
  <c r="B15" i="20"/>
  <c r="O15" i="20"/>
  <c r="AC15" i="20"/>
  <c r="C15" i="20"/>
  <c r="P15" i="20"/>
  <c r="D15" i="20"/>
  <c r="E15" i="20"/>
  <c r="R15" i="20"/>
  <c r="K15" i="1"/>
  <c r="L15" i="1"/>
  <c r="F15" i="20"/>
  <c r="T15" i="20"/>
  <c r="T15" i="1"/>
  <c r="U15" i="20"/>
  <c r="G15" i="1"/>
  <c r="V15" i="20"/>
  <c r="B15" i="1"/>
  <c r="AB15" i="1"/>
  <c r="W15" i="20"/>
  <c r="J15" i="1"/>
  <c r="P15" i="1"/>
  <c r="AC15" i="1"/>
  <c r="X15" i="20"/>
  <c r="Q15" i="20"/>
  <c r="G15" i="20"/>
  <c r="AA15" i="20"/>
  <c r="N15" i="20"/>
  <c r="Y15" i="20"/>
  <c r="L11" i="20"/>
  <c r="S11" i="20"/>
  <c r="Z11" i="20"/>
  <c r="I15" i="20"/>
  <c r="L15" i="20" l="1"/>
  <c r="I15" i="1"/>
  <c r="S15" i="20"/>
  <c r="E15" i="1"/>
  <c r="H15" i="1"/>
  <c r="D15" i="1"/>
  <c r="Z15" i="20"/>
  <c r="F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Tomáš Fedor</author>
    <author>Peter Fedor</author>
  </authors>
  <commentList>
    <comment ref="G2" authorId="0" shapeId="0" xr:uid="{02962A2D-A067-4F6A-B29A-5103CCC275E5}">
      <text>
        <r>
          <rPr>
            <b/>
            <sz val="9"/>
            <color indexed="81"/>
            <rFont val="Segoe UI"/>
            <family val="2"/>
            <charset val="238"/>
          </rPr>
          <t>Najvyššia v rámci bunky v čase pozorovania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H2" authorId="0" shapeId="0" xr:uid="{8DE0E2C4-D51A-4EFF-9E09-F4097D9C97DA}">
      <text>
        <r>
          <rPr>
            <b/>
            <sz val="9"/>
            <color indexed="81"/>
            <rFont val="Tahoma"/>
            <family val="2"/>
            <charset val="238"/>
          </rPr>
          <t>Nad pozorovacím miestom</t>
        </r>
      </text>
    </comment>
    <comment ref="L2" authorId="0" shapeId="0" xr:uid="{F17C1760-296B-4066-A857-F02B959B0714}">
      <text>
        <r>
          <rPr>
            <b/>
            <sz val="9"/>
            <color indexed="81"/>
            <rFont val="Tahoma"/>
            <family val="2"/>
            <charset val="238"/>
          </rPr>
          <t>V čase trvania búrky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3" authorId="1" shapeId="0" xr:uid="{04DD4ADA-073F-4B8A-A480-BD64012D134C}">
      <text>
        <r>
          <rPr>
            <b/>
            <sz val="9"/>
            <color indexed="81"/>
            <rFont val="Tahoma"/>
            <family val="2"/>
            <charset val="238"/>
          </rPr>
          <t>maximálny náraz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4" authorId="1" shapeId="0" xr:uid="{05B507EC-913F-4752-9DAA-DA8D06D9FEBA}">
      <text>
        <r>
          <rPr>
            <b/>
            <sz val="9"/>
            <color indexed="81"/>
            <rFont val="Tahoma"/>
            <family val="2"/>
            <charset val="238"/>
          </rPr>
          <t>Priemer vetra v čase výskytu búrky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5" authorId="1" shapeId="0" xr:uid="{6492E41D-0DDB-44E0-B269-D0D3D1B69CED}">
      <text>
        <r>
          <rPr>
            <b/>
            <sz val="9"/>
            <color indexed="81"/>
            <rFont val="Tahoma"/>
            <family val="2"/>
            <charset val="238"/>
          </rPr>
          <t>celkové množstvo zrážok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6" authorId="1" shapeId="0" xr:uid="{2B2FC21A-A122-4273-9E6E-E8B7A125473E}">
      <text>
        <r>
          <rPr>
            <b/>
            <sz val="9"/>
            <color indexed="81"/>
            <rFont val="Tahoma"/>
            <family val="2"/>
            <charset val="238"/>
          </rPr>
          <t>maximálna intenzita zrážok</t>
        </r>
      </text>
    </comment>
    <comment ref="A257" authorId="1" shapeId="0" xr:uid="{2C3A0450-EBB6-4CDB-8CA4-BDD805133A04}">
      <text>
        <r>
          <rPr>
            <b/>
            <sz val="9"/>
            <color indexed="81"/>
            <rFont val="Tahoma"/>
            <family val="2"/>
            <charset val="238"/>
          </rPr>
          <t>maximálny priemer krúp/výška napadnutej vrstvy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8" authorId="1" shapeId="0" xr:uid="{A57D3EF4-C4F3-4179-9FEB-2D226B784DC1}">
      <text>
        <r>
          <rPr>
            <b/>
            <sz val="9"/>
            <color indexed="81"/>
            <rFont val="Tahoma"/>
            <family val="2"/>
            <charset val="238"/>
          </rPr>
          <t>množstvo novonapadnutého snehu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9" authorId="1" shapeId="0" xr:uid="{A665760D-530B-49FB-83AB-3B3D4ECDE4B3}">
      <text>
        <r>
          <rPr>
            <b/>
            <sz val="9"/>
            <color indexed="81"/>
            <rFont val="Tahoma"/>
            <family val="2"/>
            <charset val="238"/>
          </rPr>
          <t>počet bleskov podľa detekcie blitzortung (vzdialenosť úderu pod 20 km od pozorovacieho miesta)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0" authorId="1" shapeId="0" xr:uid="{E66680AF-41F3-4579-BC55-317D048C770C}">
      <text>
        <r>
          <rPr>
            <b/>
            <sz val="9"/>
            <color indexed="81"/>
            <rFont val="Tahoma"/>
            <family val="2"/>
            <charset val="238"/>
          </rPr>
          <t>približná maximálna odrazivosť bunky na radare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Fedor</author>
    <author>Tomáš Fedor</author>
  </authors>
  <commentList>
    <comment ref="A2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časy sú v letnom a zimnom (miestnom) čase
</t>
        </r>
      </text>
    </comment>
    <comment ref="B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Najvyššia nameraná teplota počas mesiaca</t>
        </r>
      </text>
    </comment>
    <comment ref="C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Najnižšia nameraná teplota počas mesiaca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" authorId="1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Najvyššia amplitúda teploty vzduchu
</t>
        </r>
      </text>
    </comment>
    <comment ref="E2" authorId="1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Najnižšia amplitúda teploty vzduchu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Priemerná teplota </t>
        </r>
      </text>
    </comment>
    <comment ref="G2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Priemerná teplota (priemer údajov zapísaných v intervale 1 minúta)</t>
        </r>
      </text>
    </comment>
    <comment ref="H2" authorId="1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>Najvyššia priemerná denná teplota vzduchu</t>
        </r>
      </text>
    </comment>
    <comment ref="I2" authorId="1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>Najnižšia priemerná denná teplota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Maximálna nameraná teplota rosného bodu počas mesiaca</t>
        </r>
      </text>
    </comment>
    <comment ref="K2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38"/>
          </rPr>
          <t>Minimálna nameraná teplota rosného bodu počas mesiaca</t>
        </r>
      </text>
    </comment>
    <comment ref="L2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38"/>
          </rPr>
          <t>Priemerná teplota rosného bodu (priemer údajov zapísaných v intervale 5 minút)</t>
        </r>
      </text>
    </comment>
    <comment ref="M2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38"/>
          </rPr>
          <t>Najvyššia vlhkosť vzduchu</t>
        </r>
      </text>
    </comment>
    <comment ref="O2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38"/>
          </rPr>
          <t>Najnižšia vlhkosť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2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38"/>
          </rPr>
          <t>priemerná vlhkosť vzduchu</t>
        </r>
      </text>
    </comment>
    <comment ref="S2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38"/>
          </rPr>
          <t>Najvyššia hodnota tlaku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38"/>
          </rPr>
          <t>Najnižšia hodnota tlaku vzduchu</t>
        </r>
      </text>
    </comment>
    <comment ref="U2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38"/>
          </rPr>
          <t>Priemerná hodnota tlaku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38"/>
          </rPr>
          <t>Najvyšší zaznamenaný náraz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" authorId="1" shapeId="0" xr:uid="{00000000-0006-0000-0200-000014000000}">
      <text>
        <r>
          <rPr>
            <b/>
            <sz val="9"/>
            <color indexed="81"/>
            <rFont val="Tahoma"/>
            <family val="2"/>
            <charset val="238"/>
          </rPr>
          <t>Najvyššia rýchlosť vetra (10 minútový priemer).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38"/>
          </rPr>
          <t>Priemerná rýchlosť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2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38"/>
          </rPr>
          <t xml:space="preserve">Najvyššia priemerná rýchlosť vetra behom 24 hod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2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38"/>
          </rPr>
          <t xml:space="preserve">Najnižšia priemerná rýchlosť vetra behom 24 hod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2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38"/>
          </rPr>
          <t>smer vetra</t>
        </r>
      </text>
    </comment>
    <comment ref="AB2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38"/>
          </rPr>
          <t>Najvyššia intenzita zrážok (1 min)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C2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38"/>
          </rPr>
          <t>najvyšší úhrn zrážok v jeden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2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38"/>
          </rPr>
          <t>Celkové množstvo zrážok</t>
        </r>
      </text>
    </comment>
    <comment ref="AE2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38"/>
          </rPr>
          <t>najväčšie množstvo snehu napadnutého behom 24 hodín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2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38"/>
          </rPr>
          <t>Najväčšia výška snehovej pokrývky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Fedor</author>
    <author>Tomáš Fedor</author>
  </authors>
  <commentList>
    <comment ref="B2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deň s výskytom teplotného maxima nižšieho ako -10°C.</t>
        </r>
      </text>
    </comment>
    <comment ref="C2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deň s výskytom najvyššej teploty vzduchu nižšej ako 0°C (celodenný mráz).</t>
        </r>
      </text>
    </comment>
    <comment ref="D2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>deň s výskytom teploty nižšej ako 0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38"/>
          </rPr>
          <t>deň s najvyššou teplotou vzduchu presahujúcou 25°C.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>deň s najvyššou teplotou vzduchu presahujúcou 30°C.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2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38"/>
          </rPr>
          <t>noc, počas ktorej najnižšia teplota vzduchu presiahne 20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>Búrkové dni (počuteľný hrom)</t>
        </r>
      </text>
    </comment>
    <comment ref="I2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>búrka vzdialená menej ako 3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>búrky vzdielené 3-5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" authorId="0" shapeId="0" xr:uid="{00000000-0006-0000-0300-00000A000000}">
      <text>
        <r>
          <rPr>
            <b/>
            <sz val="9"/>
            <color indexed="81"/>
            <rFont val="Tahoma"/>
            <family val="2"/>
            <charset val="238"/>
          </rPr>
          <t>búrky vzdielené 5-15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" authorId="0" shapeId="0" xr:uid="{00000000-0006-0000-0300-00000B000000}">
      <text>
        <r>
          <rPr>
            <b/>
            <sz val="9"/>
            <color indexed="81"/>
            <rFont val="Tahoma"/>
            <family val="2"/>
            <charset val="238"/>
          </rPr>
          <t>všetky búrky</t>
        </r>
      </text>
    </comment>
    <comment ref="M2" authorId="1" shapeId="0" xr:uid="{00000000-0006-0000-0300-00000C000000}">
      <text>
        <r>
          <rPr>
            <b/>
            <sz val="9"/>
            <color indexed="81"/>
            <rFont val="Tahoma"/>
            <family val="2"/>
            <charset val="238"/>
          </rPr>
          <t>Dohľadnosť 1-10 km vplyvom rozptýlených tuhých častíc v ovzduší. Relatívna vlhkosť je nižšia ako 70%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" authorId="1" shapeId="0" xr:uid="{00000000-0006-0000-0300-00000D000000}">
      <text>
        <r>
          <rPr>
            <b/>
            <sz val="9"/>
            <color indexed="81"/>
            <rFont val="Tahoma"/>
            <family val="2"/>
            <charset val="238"/>
          </rPr>
          <t>Dohľadnosť 1-10 km vplyvom rozptýlených častíc vodnej pary. Relatívna vlhkosť je vyššia ako 70%</t>
        </r>
      </text>
    </comment>
    <comment ref="O2" authorId="0" shapeId="0" xr:uid="{00000000-0006-0000-0300-00000E000000}">
      <text>
        <r>
          <rPr>
            <b/>
            <sz val="9"/>
            <color indexed="81"/>
            <rFont val="Tahoma"/>
            <family val="2"/>
            <charset val="238"/>
          </rPr>
          <t>Deň s dohľadnosťou nižšou ako 1 km.</t>
        </r>
      </text>
    </comment>
    <comment ref="P2" authorId="0" shapeId="0" xr:uid="{00000000-0006-0000-0300-00000F000000}">
      <text>
        <r>
          <rPr>
            <b/>
            <sz val="9"/>
            <color indexed="81"/>
            <rFont val="Tahoma"/>
            <family val="2"/>
            <charset val="238"/>
          </rPr>
          <t>6 hod nepretržitý slnečný svit</t>
        </r>
      </text>
    </comment>
    <comment ref="Q2" authorId="0" shapeId="0" xr:uid="{00000000-0006-0000-0300-000010000000}">
      <text>
        <r>
          <rPr>
            <b/>
            <sz val="9"/>
            <color indexed="81"/>
            <rFont val="Tahoma"/>
            <family val="2"/>
            <charset val="238"/>
          </rPr>
          <t>( 0/8 pokrytie oblohy oblačnosťou po celý deň)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2" authorId="0" shapeId="0" xr:uid="{00000000-0006-0000-0300-000011000000}">
      <text>
        <r>
          <rPr>
            <b/>
            <sz val="9"/>
            <color indexed="81"/>
            <rFont val="Tahoma"/>
            <family val="2"/>
            <charset val="238"/>
          </rPr>
          <t>Deň so zamračenou oblohou (8/8 pokrytie oblohy oblačnosťou po celý deň)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2" authorId="0" shapeId="0" xr:uid="{00000000-0006-0000-0300-000012000000}">
      <text>
        <r>
          <rPr>
            <b/>
            <sz val="9"/>
            <color indexed="81"/>
            <rFont val="Tahoma"/>
            <family val="2"/>
            <charset val="238"/>
          </rPr>
          <t>výskyt akéhokoľvek typu zrážok v daný deň</t>
        </r>
      </text>
    </comment>
    <comment ref="T2" authorId="0" shapeId="0" xr:uid="{00000000-0006-0000-0300-000013000000}">
      <text>
        <r>
          <rPr>
            <b/>
            <sz val="9"/>
            <color indexed="81"/>
            <rFont val="Tahoma"/>
            <family val="2"/>
            <charset val="238"/>
          </rPr>
          <t>nemerateľné (malé) množstvo zrážok (&lt;0.1 mm)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2" authorId="0" shapeId="0" xr:uid="{00000000-0006-0000-0300-000014000000}">
      <text>
        <r>
          <rPr>
            <b/>
            <sz val="9"/>
            <color indexed="81"/>
            <rFont val="Tahoma"/>
            <family val="2"/>
            <charset val="238"/>
          </rPr>
          <t>merateľné zrážky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" authorId="0" shapeId="0" xr:uid="{00000000-0006-0000-0300-000015000000}">
      <text>
        <r>
          <rPr>
            <b/>
            <sz val="9"/>
            <color indexed="81"/>
            <rFont val="Tahoma"/>
            <family val="2"/>
            <charset val="238"/>
          </rPr>
          <t>výskyt kvapalných zrážok v daný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" authorId="0" shapeId="0" xr:uid="{00000000-0006-0000-0300-000016000000}">
      <text>
        <r>
          <rPr>
            <b/>
            <sz val="9"/>
            <color indexed="81"/>
            <rFont val="Tahoma"/>
            <family val="2"/>
            <charset val="238"/>
          </rPr>
          <t>výskyt krupobita - Ľadové zrážky s priemerom nad 5 mm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" authorId="0" shapeId="0" xr:uid="{00000000-0006-0000-0300-000017000000}">
      <text>
        <r>
          <rPr>
            <b/>
            <sz val="9"/>
            <color indexed="81"/>
            <rFont val="Tahoma"/>
            <family val="2"/>
            <charset val="238"/>
          </rPr>
          <t>výskyt sneženia, zmrznutého dažďa alebo snehových zŕn v daný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2" authorId="1" shapeId="0" xr:uid="{00000000-0006-0000-0300-000018000000}">
      <text>
        <r>
          <rPr>
            <b/>
            <sz val="9"/>
            <color indexed="81"/>
            <rFont val="Tahoma"/>
            <family val="2"/>
            <charset val="238"/>
          </rPr>
          <t xml:space="preserve">Dni s výskytom merateľných usadených zrážok (rosa, námraza, inoväť)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2" authorId="1" shapeId="0" xr:uid="{00000000-0006-0000-0300-000019000000}">
      <text>
        <r>
          <rPr>
            <b/>
            <sz val="9"/>
            <color indexed="81"/>
            <rFont val="Tahoma"/>
            <family val="2"/>
            <charset val="238"/>
          </rPr>
          <t>Poprašok, SSP a NSP</t>
        </r>
      </text>
    </comment>
    <comment ref="AA2" authorId="1" shapeId="0" xr:uid="{00000000-0006-0000-0300-00001A000000}">
      <text>
        <r>
          <rPr>
            <b/>
            <sz val="9"/>
            <color indexed="81"/>
            <rFont val="Tahoma"/>
            <family val="2"/>
            <charset val="238"/>
          </rPr>
          <t>Súvislá snehová pokrývka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2" authorId="1" shapeId="0" xr:uid="{00000000-0006-0000-0300-00001B000000}">
      <text>
        <r>
          <rPr>
            <b/>
            <sz val="9"/>
            <color indexed="81"/>
            <rFont val="Tahoma"/>
            <family val="2"/>
            <charset val="238"/>
          </rPr>
          <t>Nesúvislá snehová pokrývka
- menej ako 1/2 plochy v okolí pozorovacieho miesta pokrytá snehom.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C2" authorId="1" shapeId="0" xr:uid="{00000000-0006-0000-0300-00001C000000}">
      <text>
        <r>
          <rPr>
            <b/>
            <sz val="9"/>
            <color indexed="81"/>
            <rFont val="Tahoma"/>
            <family val="2"/>
            <charset val="238"/>
          </rPr>
          <t>Snehová pokrývka nižšia ako 0.5 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<sst xmlns="http://schemas.openxmlformats.org/spreadsheetml/2006/main" count="1629" uniqueCount="473">
  <si>
    <t>Dátum</t>
  </si>
  <si>
    <t>Mesiac</t>
  </si>
  <si>
    <t>Teplota vzduchu</t>
  </si>
  <si>
    <r>
      <t>T</t>
    </r>
    <r>
      <rPr>
        <sz val="8"/>
        <color theme="1"/>
        <rFont val="Calibri"/>
        <family val="2"/>
        <charset val="238"/>
        <scheme val="minor"/>
      </rPr>
      <t>max</t>
    </r>
  </si>
  <si>
    <r>
      <t>T</t>
    </r>
    <r>
      <rPr>
        <sz val="8"/>
        <color theme="1"/>
        <rFont val="Calibri"/>
        <family val="2"/>
        <charset val="238"/>
        <scheme val="minor"/>
      </rPr>
      <t>min</t>
    </r>
  </si>
  <si>
    <t>Rosný bod</t>
  </si>
  <si>
    <r>
      <t>T</t>
    </r>
    <r>
      <rPr>
        <sz val="8"/>
        <color theme="1"/>
        <rFont val="Calibri"/>
        <family val="2"/>
        <charset val="238"/>
        <scheme val="minor"/>
      </rPr>
      <t>pr.</t>
    </r>
  </si>
  <si>
    <t>Tlak vzduchu</t>
  </si>
  <si>
    <r>
      <t>P</t>
    </r>
    <r>
      <rPr>
        <sz val="8"/>
        <color theme="1"/>
        <rFont val="Calibri"/>
        <family val="2"/>
        <charset val="238"/>
        <scheme val="minor"/>
      </rPr>
      <t>max</t>
    </r>
  </si>
  <si>
    <r>
      <t>P</t>
    </r>
    <r>
      <rPr>
        <sz val="8"/>
        <color theme="1"/>
        <rFont val="Calibri"/>
        <family val="2"/>
        <charset val="238"/>
        <scheme val="minor"/>
      </rPr>
      <t>min</t>
    </r>
  </si>
  <si>
    <t>Vietor</t>
  </si>
  <si>
    <t>max náraz</t>
  </si>
  <si>
    <t>pr. Rýchlosť</t>
  </si>
  <si>
    <t>pr. Smer</t>
  </si>
  <si>
    <t>Zrážky</t>
  </si>
  <si>
    <t>typ</t>
  </si>
  <si>
    <t>intenzita</t>
  </si>
  <si>
    <t>množstvo</t>
  </si>
  <si>
    <t>sneh. Pokrývka</t>
  </si>
  <si>
    <t>Oblačnosť, ostatné javy</t>
  </si>
  <si>
    <r>
      <t>Td</t>
    </r>
    <r>
      <rPr>
        <sz val="8"/>
        <color theme="1"/>
        <rFont val="Calibri"/>
        <family val="2"/>
        <charset val="238"/>
        <scheme val="minor"/>
      </rPr>
      <t>max</t>
    </r>
  </si>
  <si>
    <r>
      <t>Td</t>
    </r>
    <r>
      <rPr>
        <sz val="8"/>
        <color theme="1"/>
        <rFont val="Calibri"/>
        <family val="2"/>
        <charset val="238"/>
        <scheme val="minor"/>
      </rPr>
      <t>min</t>
    </r>
  </si>
  <si>
    <t>max. intenzita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</si>
  <si>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</si>
  <si>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</si>
  <si>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</si>
  <si>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</si>
  <si>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</si>
  <si>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</si>
  <si>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</si>
  <si>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</si>
  <si>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</si>
  <si>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</si>
  <si>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</si>
  <si>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</si>
  <si>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Vlhkosť vzduchu</t>
  </si>
  <si>
    <t>Vlhkosť</t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</si>
  <si>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min.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</si>
  <si>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max.</t>
    </r>
  </si>
  <si>
    <r>
      <t>H</t>
    </r>
    <r>
      <rPr>
        <sz val="8"/>
        <color theme="1"/>
        <rFont val="Calibri"/>
        <family val="2"/>
        <charset val="238"/>
        <scheme val="minor"/>
      </rPr>
      <t>min</t>
    </r>
  </si>
  <si>
    <r>
      <t>H</t>
    </r>
    <r>
      <rPr>
        <sz val="8"/>
        <color theme="1"/>
        <rFont val="Calibri"/>
        <family val="2"/>
        <charset val="238"/>
        <scheme val="minor"/>
      </rPr>
      <t>max</t>
    </r>
  </si>
  <si>
    <t>priem. Rýchlosť</t>
  </si>
  <si>
    <t>krúpy</t>
  </si>
  <si>
    <t>max pr. Rýchlosť</t>
  </si>
  <si>
    <t>max rýchlosť</t>
  </si>
  <si>
    <t>10 m/s &lt;=&gt; 15 m/s</t>
  </si>
  <si>
    <t>15 m/s &lt;=&gt; 20 m/s</t>
  </si>
  <si>
    <t>20 m/s &lt;=&gt; 25 m/s</t>
  </si>
  <si>
    <t>0 m/s &lt;=&gt; 5 m/s</t>
  </si>
  <si>
    <t>zrážky:</t>
  </si>
  <si>
    <t>intenzita:</t>
  </si>
  <si>
    <t>0 mm &lt;=&gt; 5 mm</t>
  </si>
  <si>
    <t>5 mm &lt;=&gt; 10 mm</t>
  </si>
  <si>
    <t>10 mm &lt;=&gt; 15 mm</t>
  </si>
  <si>
    <t>15 mm &lt;=&gt; 30 mm</t>
  </si>
  <si>
    <t>30 mm &lt;=&gt; 45 mm</t>
  </si>
  <si>
    <t>45 mm &lt;=&gt; 60 mm</t>
  </si>
  <si>
    <t>60 mm &lt;=&gt; 80 mm</t>
  </si>
  <si>
    <t>80 mm &lt;</t>
  </si>
  <si>
    <t>0 mm/h &lt;=&gt; 5 mm/h</t>
  </si>
  <si>
    <t>5 mm/h &lt;=&gt; 15 mm/h</t>
  </si>
  <si>
    <t>15 mm/h &lt;=&gt; 30 mm/h</t>
  </si>
  <si>
    <t>30 mm/h &lt;=&gt; 50 mm/h</t>
  </si>
  <si>
    <t>0 cm &lt;=&gt; 1 cm</t>
  </si>
  <si>
    <t>1cm &lt;=&gt; 3cm</t>
  </si>
  <si>
    <t>3 cm &lt;=&gt; 5 cm</t>
  </si>
  <si>
    <t>10 cm &lt;=&gt; 15 cm</t>
  </si>
  <si>
    <t>15 cm &lt;=&gt; 20 cm</t>
  </si>
  <si>
    <t>20 cm &lt;=&gt; 30 cm</t>
  </si>
  <si>
    <t>30 cm &lt;</t>
  </si>
  <si>
    <t>sneh:</t>
  </si>
  <si>
    <t>krúpy:</t>
  </si>
  <si>
    <t>15 mm &lt;=&gt; 20 mm</t>
  </si>
  <si>
    <t>20 mm &lt;=&gt; 30 mm</t>
  </si>
  <si>
    <t>40 mm &lt;=&gt; 50 mm</t>
  </si>
  <si>
    <t>30 mm &lt;=&gt;  40 mm</t>
  </si>
  <si>
    <t>50 mm &lt;</t>
  </si>
  <si>
    <t>Vysvetlivky:</t>
  </si>
  <si>
    <t>0 mm</t>
  </si>
  <si>
    <t>0 mm/h</t>
  </si>
  <si>
    <t>0 cm</t>
  </si>
  <si>
    <t>150 mm/h &lt;</t>
  </si>
  <si>
    <t>50 mm/h &lt;=&gt; 90 mm/h</t>
  </si>
  <si>
    <t>90 mm/h &lt;=&gt; 150 mm/h</t>
  </si>
  <si>
    <r>
      <t>P</t>
    </r>
    <r>
      <rPr>
        <sz val="8"/>
        <color theme="1"/>
        <rFont val="Calibri"/>
        <family val="2"/>
        <charset val="238"/>
        <scheme val="minor"/>
      </rPr>
      <t>pr. (5 min)</t>
    </r>
  </si>
  <si>
    <r>
      <t>H</t>
    </r>
    <r>
      <rPr>
        <sz val="8"/>
        <color theme="1"/>
        <rFont val="Calibri"/>
        <family val="2"/>
        <charset val="238"/>
        <scheme val="minor"/>
      </rPr>
      <t>pr.5min</t>
    </r>
  </si>
  <si>
    <r>
      <t>T</t>
    </r>
    <r>
      <rPr>
        <sz val="8"/>
        <color theme="1"/>
        <rFont val="Calibri"/>
        <family val="2"/>
        <charset val="238"/>
        <scheme val="minor"/>
      </rPr>
      <t>dpr.5min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</si>
  <si>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pr. 5 min</t>
    </r>
  </si>
  <si>
    <r>
      <t>Td</t>
    </r>
    <r>
      <rPr>
        <sz val="10"/>
        <color theme="1"/>
        <rFont val="Calibri"/>
        <family val="2"/>
        <charset val="238"/>
        <scheme val="minor"/>
      </rPr>
      <t>pr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sz val="8"/>
        <color theme="1"/>
        <rFont val="Calibri"/>
        <family val="2"/>
        <charset val="238"/>
        <scheme val="minor"/>
      </rPr>
      <t>5 min</t>
    </r>
  </si>
  <si>
    <r>
      <t>P</t>
    </r>
    <r>
      <rPr>
        <sz val="8"/>
        <color theme="1"/>
        <rFont val="Calibri"/>
        <family val="2"/>
        <charset val="238"/>
        <scheme val="minor"/>
      </rPr>
      <t>pr. 5 min</t>
    </r>
  </si>
  <si>
    <r>
      <t>T</t>
    </r>
    <r>
      <rPr>
        <sz val="8"/>
        <color theme="1"/>
        <rFont val="Calibri"/>
        <family val="2"/>
        <charset val="238"/>
        <scheme val="minor"/>
      </rPr>
      <t>pr.1min</t>
    </r>
  </si>
  <si>
    <t>nový sneh</t>
  </si>
  <si>
    <r>
      <t>T</t>
    </r>
    <r>
      <rPr>
        <sz val="8"/>
        <color theme="1"/>
        <rFont val="Calibri"/>
        <family val="2"/>
        <charset val="238"/>
        <scheme val="minor"/>
      </rPr>
      <t>pr. 1 min</t>
    </r>
  </si>
  <si>
    <r>
      <t>T</t>
    </r>
    <r>
      <rPr>
        <sz val="8"/>
        <color theme="1"/>
        <rFont val="Calibri"/>
        <family val="2"/>
        <charset val="238"/>
        <scheme val="minor"/>
      </rPr>
      <t>20:34</t>
    </r>
  </si>
  <si>
    <r>
      <t>T</t>
    </r>
    <r>
      <rPr>
        <sz val="8"/>
        <color theme="1"/>
        <rFont val="Calibri"/>
        <family val="2"/>
        <charset val="238"/>
        <scheme val="minor"/>
      </rPr>
      <t>13:34</t>
    </r>
  </si>
  <si>
    <r>
      <t>T</t>
    </r>
    <r>
      <rPr>
        <sz val="8"/>
        <color theme="1"/>
        <rFont val="Calibri"/>
        <family val="2"/>
        <charset val="238"/>
        <scheme val="minor"/>
      </rPr>
      <t>6:34</t>
    </r>
  </si>
  <si>
    <t>min pr. Rýchlosť</t>
  </si>
  <si>
    <t>Tropické noci</t>
  </si>
  <si>
    <t>Letné dni</t>
  </si>
  <si>
    <t>Tropické dni</t>
  </si>
  <si>
    <t>Mrazové dni</t>
  </si>
  <si>
    <t>Ľadové dni</t>
  </si>
  <si>
    <t>Arktické dni</t>
  </si>
  <si>
    <t>Búrky</t>
  </si>
  <si>
    <t>Rozdelenie dní podľa teploty vzduchu</t>
  </si>
  <si>
    <t>búrky</t>
  </si>
  <si>
    <t>Marec:</t>
  </si>
  <si>
    <t>Apríl:</t>
  </si>
  <si>
    <t>Máj:</t>
  </si>
  <si>
    <t>Február:</t>
  </si>
  <si>
    <t>Január:</t>
  </si>
  <si>
    <t>Júl:</t>
  </si>
  <si>
    <t>Jún:</t>
  </si>
  <si>
    <t>August:</t>
  </si>
  <si>
    <t>September:</t>
  </si>
  <si>
    <t>vzd. búrky</t>
  </si>
  <si>
    <t>blízke búrky</t>
  </si>
  <si>
    <t>priame búrky</t>
  </si>
  <si>
    <r>
      <rPr>
        <sz val="12"/>
        <color theme="1"/>
        <rFont val="Calibri"/>
        <family val="2"/>
        <charset val="238"/>
        <scheme val="minor"/>
      </rPr>
      <t>T</t>
    </r>
    <r>
      <rPr>
        <sz val="8"/>
        <color theme="1"/>
        <rFont val="Calibri"/>
        <family val="2"/>
        <charset val="238"/>
        <scheme val="minor"/>
      </rPr>
      <t>pr.max</t>
    </r>
  </si>
  <si>
    <r>
      <rPr>
        <sz val="11"/>
        <color theme="1"/>
        <rFont val="Calibri"/>
        <family val="2"/>
        <charset val="238"/>
        <scheme val="minor"/>
      </rPr>
      <t>T</t>
    </r>
    <r>
      <rPr>
        <sz val="8"/>
        <color theme="1"/>
        <rFont val="Calibri"/>
        <family val="2"/>
        <charset val="238"/>
        <scheme val="minor"/>
      </rPr>
      <t>pr.min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</si>
  <si>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pr.max</t>
    </r>
  </si>
  <si>
    <r>
      <t>H</t>
    </r>
    <r>
      <rPr>
        <sz val="8"/>
        <color theme="1"/>
        <rFont val="Calibri"/>
        <family val="2"/>
        <charset val="238"/>
        <scheme val="minor"/>
      </rPr>
      <t>pr.min</t>
    </r>
  </si>
  <si>
    <t>max 24h úhrn</t>
  </si>
  <si>
    <t>Čas (UTC)</t>
  </si>
  <si>
    <t>Poveternostná situácia</t>
  </si>
  <si>
    <t>Informácie o búrke</t>
  </si>
  <si>
    <t>Informácie o postupe</t>
  </si>
  <si>
    <t>Hydrometeory</t>
  </si>
  <si>
    <t>Elektrometeory</t>
  </si>
  <si>
    <t>Poznámky</t>
  </si>
  <si>
    <t>Jav</t>
  </si>
  <si>
    <t>Odrazivosť</t>
  </si>
  <si>
    <t>postup</t>
  </si>
  <si>
    <t>smer</t>
  </si>
  <si>
    <t>náraz</t>
  </si>
  <si>
    <t>priemer</t>
  </si>
  <si>
    <t>sneh</t>
  </si>
  <si>
    <t>najbližší úder</t>
  </si>
  <si>
    <t>hrom</t>
  </si>
  <si>
    <t>počuteľný hrom - búrka</t>
  </si>
  <si>
    <t>W - búrkový deň</t>
  </si>
  <si>
    <t>P - priama búrka</t>
  </si>
  <si>
    <t>L - blízka búrka (3-5 km)</t>
  </si>
  <si>
    <t>V - vzdialená búrka (5-15km)</t>
  </si>
  <si>
    <t>D - dážď</t>
  </si>
  <si>
    <t>S - sneženie</t>
  </si>
  <si>
    <t>K - krupobitie</t>
  </si>
  <si>
    <t>Z - zrážky</t>
  </si>
  <si>
    <t>Vietor max:</t>
  </si>
  <si>
    <t>5 m/s &lt;=&gt; 10 m/s</t>
  </si>
  <si>
    <t>25 m/s &lt;=&gt; 30 m/s</t>
  </si>
  <si>
    <t>30 m/s &lt;</t>
  </si>
  <si>
    <t>vietor priemer:</t>
  </si>
  <si>
    <t>0 m/s &lt;=&gt; 2 m/s</t>
  </si>
  <si>
    <t>2 m/s &lt;=&gt; 5 m/s</t>
  </si>
  <si>
    <t>5 m/s &lt;=&gt; 8 m/s</t>
  </si>
  <si>
    <t>8 m/s &lt;=&gt; 11 m/s</t>
  </si>
  <si>
    <t>11 m/s &lt;=&gt; 13 m/s</t>
  </si>
  <si>
    <t>13 m/s &lt;=&gt; 15 m/s</t>
  </si>
  <si>
    <t>15 m/s &lt;</t>
  </si>
  <si>
    <t>5 cm &lt;=&gt; 10 cm</t>
  </si>
  <si>
    <t>Blesky</t>
  </si>
  <si>
    <t>1 &lt;=&gt; 10</t>
  </si>
  <si>
    <t>10 &lt;=&gt; 50</t>
  </si>
  <si>
    <t>50 &lt;=&gt; 350</t>
  </si>
  <si>
    <t>350 &lt;=&gt; 700</t>
  </si>
  <si>
    <t xml:space="preserve">700 &lt;=&gt; 1200 </t>
  </si>
  <si>
    <t>1200 &lt;=&gt; 1800</t>
  </si>
  <si>
    <t>1800 &lt;=&gt; 2500</t>
  </si>
  <si>
    <t>2500 &lt;</t>
  </si>
  <si>
    <t>30-40 dBz</t>
  </si>
  <si>
    <t>40-45 dBz</t>
  </si>
  <si>
    <t>45-50 dBz</t>
  </si>
  <si>
    <t>50-55 dBz</t>
  </si>
  <si>
    <t>55-60 dBz</t>
  </si>
  <si>
    <t>60-63 dBz</t>
  </si>
  <si>
    <t xml:space="preserve">63-65 dBz </t>
  </si>
  <si>
    <t>65 dBz &lt;</t>
  </si>
  <si>
    <t>Dni s búrkou</t>
  </si>
  <si>
    <t>Dni s hmlou</t>
  </si>
  <si>
    <t>Október:</t>
  </si>
  <si>
    <t>November:</t>
  </si>
  <si>
    <t>Dni so snežením</t>
  </si>
  <si>
    <t>Dni s dažďom</t>
  </si>
  <si>
    <t>Dni s merateľnými zrážkami</t>
  </si>
  <si>
    <t>Dni s nemerateľnými zrážkami</t>
  </si>
  <si>
    <t>Dni so zrážkami</t>
  </si>
  <si>
    <t>Dni so zamračenou oblohou</t>
  </si>
  <si>
    <t>December:</t>
  </si>
  <si>
    <t>Dni so snehovou pokrývkou</t>
  </si>
  <si>
    <t>Dni s krupobitím</t>
  </si>
  <si>
    <t>slnečné dni</t>
  </si>
  <si>
    <t>maximálna odrazivosť</t>
  </si>
  <si>
    <t>Dni so SSP</t>
  </si>
  <si>
    <t>Dni s popraškom</t>
  </si>
  <si>
    <t>Dni s NSP</t>
  </si>
  <si>
    <t>Snehová pokrývka</t>
  </si>
  <si>
    <t>prevládajúci smer vetra</t>
  </si>
  <si>
    <t>organizácia</t>
  </si>
  <si>
    <t>Dni s dymnom</t>
  </si>
  <si>
    <t>ΔT</t>
  </si>
  <si>
    <r>
      <t>ΔT</t>
    </r>
    <r>
      <rPr>
        <sz val="8"/>
        <color theme="1"/>
        <rFont val="Calibri"/>
        <family val="2"/>
        <charset val="238"/>
        <scheme val="minor"/>
      </rPr>
      <t>min</t>
    </r>
  </si>
  <si>
    <r>
      <t>ΔT</t>
    </r>
    <r>
      <rPr>
        <sz val="8"/>
        <color theme="1"/>
        <rFont val="Calibri"/>
        <family val="2"/>
        <charset val="238"/>
        <scheme val="minor"/>
      </rPr>
      <t>max</t>
    </r>
  </si>
  <si>
    <t>max 24h sneh</t>
  </si>
  <si>
    <t>Iniciácia</t>
  </si>
  <si>
    <t>Okolnosti vzniku</t>
  </si>
  <si>
    <t>Dni s bezoblačnou oblohou</t>
  </si>
  <si>
    <t>Dohľadnosť a oblačnosť</t>
  </si>
  <si>
    <t>Dni so zákalom</t>
  </si>
  <si>
    <t>Dni s usadenými zrážkami</t>
  </si>
  <si>
    <t>D , Z</t>
  </si>
  <si>
    <t>J</t>
  </si>
  <si>
    <t>JJV</t>
  </si>
  <si>
    <t>SV</t>
  </si>
  <si>
    <t>SSV</t>
  </si>
  <si>
    <t>S</t>
  </si>
  <si>
    <r>
      <t>H</t>
    </r>
    <r>
      <rPr>
        <sz val="8"/>
        <color theme="1"/>
        <rFont val="Calibri"/>
        <family val="2"/>
        <charset val="238"/>
        <scheme val="minor"/>
      </rPr>
      <t>max. (&gt;95%)</t>
    </r>
  </si>
  <si>
    <t>8/8, hmla, NSP</t>
  </si>
  <si>
    <t>8/8, ráno hmla</t>
  </si>
  <si>
    <t>6/8, ráno a večer hmla, prehánky</t>
  </si>
  <si>
    <t>8/8, prehánky</t>
  </si>
  <si>
    <t>7/8, ráno dymno</t>
  </si>
  <si>
    <t>1/8, slnečný deň</t>
  </si>
  <si>
    <t>6/8, osuheľ</t>
  </si>
  <si>
    <t>7/8, osuhel, inovať, ráno mrznúca hmla</t>
  </si>
  <si>
    <t>7/8, osuheľ</t>
  </si>
  <si>
    <t>8/8</t>
  </si>
  <si>
    <t>S , N</t>
  </si>
  <si>
    <t>7/8, dymno</t>
  </si>
  <si>
    <t>7/8, ráno hmla, v noci snehové prehánky</t>
  </si>
  <si>
    <t>1/8, ráno poprašok</t>
  </si>
  <si>
    <t>7/8</t>
  </si>
  <si>
    <t>S , Z</t>
  </si>
  <si>
    <t>6/8, SSP</t>
  </si>
  <si>
    <t>6/8, snehové a krupkové prehánky, SSP</t>
  </si>
  <si>
    <t>4/8, SSP</t>
  </si>
  <si>
    <t>7/8, ráno dymno, SSP, snehové a krupkové prehánky</t>
  </si>
  <si>
    <t>6/8, snehové prehánky, SSP</t>
  </si>
  <si>
    <t>6/8, snehové prehánky, zvírený sneh, SSP</t>
  </si>
  <si>
    <t>1/8, NSP</t>
  </si>
  <si>
    <t>D , S , Z</t>
  </si>
  <si>
    <t>8/8, NSP, večer mrznúce mrholenie</t>
  </si>
  <si>
    <t>8/8, SSP</t>
  </si>
  <si>
    <t>8/8, dymno, SSP</t>
  </si>
  <si>
    <t>7/8, ráno dymno, SSP</t>
  </si>
  <si>
    <t>5/8, NSP</t>
  </si>
  <si>
    <t>6/8, NSP</t>
  </si>
  <si>
    <t>7/8, NSP</t>
  </si>
  <si>
    <t>VSV</t>
  </si>
  <si>
    <t>VJV</t>
  </si>
  <si>
    <t>SSZ</t>
  </si>
  <si>
    <t>JV</t>
  </si>
  <si>
    <t>JZ</t>
  </si>
  <si>
    <t>SZ</t>
  </si>
  <si>
    <t>JJZ</t>
  </si>
  <si>
    <t>ZJZ</t>
  </si>
  <si>
    <t>intenzita (1 min priemer)</t>
  </si>
  <si>
    <t>8/8, NSP, večer hmla</t>
  </si>
  <si>
    <t>7/8, ráno dymno, poprašok</t>
  </si>
  <si>
    <t>7/8, poprašok</t>
  </si>
  <si>
    <t>8/8, NSP, dymno</t>
  </si>
  <si>
    <t>D , N</t>
  </si>
  <si>
    <t>8/8, NSP, ráno hmla</t>
  </si>
  <si>
    <t>3/8, slnečný deň, poprašok</t>
  </si>
  <si>
    <t>1/8, slnečný deň, osuheľ</t>
  </si>
  <si>
    <t>D , S , N</t>
  </si>
  <si>
    <t>4/8</t>
  </si>
  <si>
    <t>8/8, nadránom zamrznutý dážď</t>
  </si>
  <si>
    <t>7/8, prehánky</t>
  </si>
  <si>
    <t>5/8</t>
  </si>
  <si>
    <t xml:space="preserve">7/8, ráno hmla </t>
  </si>
  <si>
    <t>6/8</t>
  </si>
  <si>
    <t>2/8, slnečný deň</t>
  </si>
  <si>
    <t>3/8, slnečný deň</t>
  </si>
  <si>
    <t>6/8, ráno hmla</t>
  </si>
  <si>
    <t>7/8, ráno poprašok</t>
  </si>
  <si>
    <t>1/8, slnečný deň, NSP</t>
  </si>
  <si>
    <t>3/8, NSP</t>
  </si>
  <si>
    <t>6/8, SSP, večer hmla</t>
  </si>
  <si>
    <t>1/8, ráno dymno, slnečný deň</t>
  </si>
  <si>
    <t>0/8, slnečný deň</t>
  </si>
  <si>
    <t>3/8</t>
  </si>
  <si>
    <t>5/8, prehánky</t>
  </si>
  <si>
    <t>6/8, prehánky</t>
  </si>
  <si>
    <t>6/8, ráno snehové prehánky</t>
  </si>
  <si>
    <t>9:40-11:00</t>
  </si>
  <si>
    <t>Nevýrazné tlakové pole</t>
  </si>
  <si>
    <t>Orografia</t>
  </si>
  <si>
    <t>multicela</t>
  </si>
  <si>
    <t>SZ-JV</t>
  </si>
  <si>
    <t>áno</t>
  </si>
  <si>
    <t>W , P , D , Z</t>
  </si>
  <si>
    <t>6/8, búrka</t>
  </si>
  <si>
    <t>búrka</t>
  </si>
  <si>
    <t>7/8, ráno dymno, búrka</t>
  </si>
  <si>
    <t>P</t>
  </si>
  <si>
    <t>outflow boundary</t>
  </si>
  <si>
    <t>V</t>
  </si>
  <si>
    <t>W , L , D , N</t>
  </si>
  <si>
    <t>11:50-14:40</t>
  </si>
  <si>
    <t>13:00-13:50</t>
  </si>
  <si>
    <t>výšková níž</t>
  </si>
  <si>
    <t xml:space="preserve">W , V </t>
  </si>
  <si>
    <t>4/8, ráno dymno</t>
  </si>
  <si>
    <t>1/8, slnečný deň, ráno dymno</t>
  </si>
  <si>
    <t>4/8, slnečný deň, búrka</t>
  </si>
  <si>
    <t>7/8, búrka</t>
  </si>
  <si>
    <t>15:10-15:35</t>
  </si>
  <si>
    <t>orografia</t>
  </si>
  <si>
    <t>W , V</t>
  </si>
  <si>
    <t>teplý sektor</t>
  </si>
  <si>
    <t>15:20-16:50</t>
  </si>
  <si>
    <t>orografia / outflow boundary</t>
  </si>
  <si>
    <t>multicela / supercela</t>
  </si>
  <si>
    <t>zvlnený studený front</t>
  </si>
  <si>
    <t>Výrazná supercela, ktorá vznikla na Poľskej strane v blízkosti mesta Nowy Sacz. Pri vstupe nad naše územie začala vykazovať supercelárne črty - výrazný odklon, dlhú životnosť a dlhodobo vysoké hodnoty radarovej odrazivosti. Pozdĺž jej outflowu vznikali ďalšie bunky, ktoré tesne minuli pozorovacie miesto západne a východne a lokálne mohli priniesť intenzívne zrážky a krupobitie (hlavne obce Lúčka a Kračúnovce). Je možné, že sa jednalo taktiež o supercelárne bunky, resp. zhluk troch supercelárnych buniek vykazujúcich niektoré charakteristické črty súbežne (odklon, vysoká odrazivosť, štiepenie).</t>
  </si>
  <si>
    <t>maximálna odrazivosť 2</t>
  </si>
  <si>
    <t>SSZ-JJV</t>
  </si>
  <si>
    <t>5/8, nadránom hmla</t>
  </si>
  <si>
    <t>1/8, slnečný deň, večer halové javy (parhelia, cirkumzenitálny oblúk, horný dotykový oblúk)</t>
  </si>
  <si>
    <t>5/8, ráno hmla</t>
  </si>
  <si>
    <t>?</t>
  </si>
  <si>
    <t>W , V , D , Z</t>
  </si>
  <si>
    <t>frontálne rozhranie</t>
  </si>
  <si>
    <t>MCS</t>
  </si>
  <si>
    <t>JZ-SV</t>
  </si>
  <si>
    <t>10:45-11:15</t>
  </si>
  <si>
    <t>výšková tlaková níž</t>
  </si>
  <si>
    <t>outflow boundary / orografia</t>
  </si>
  <si>
    <t>S-J</t>
  </si>
  <si>
    <t>Z</t>
  </si>
  <si>
    <t>W , V , D , N</t>
  </si>
  <si>
    <t>V-Z</t>
  </si>
  <si>
    <t>0:03-3:00</t>
  </si>
  <si>
    <t>Lineárne organizované MCS so vznikom východne v oblasti Ukrajiny. Rýchla propagácia smerom na západ, na radare spozorované prehnuté segmenty pri vstupne na pohraničie. Nad územím Slovenska postupný rozpad a prevažne stratiformné zrážky trvajúce do ranných hodín.</t>
  </si>
  <si>
    <t>6/8, nadránom búrka</t>
  </si>
  <si>
    <t>2/8, slnečný deň, ráno dymno, večer halové javy (22° parhelia)</t>
  </si>
  <si>
    <t>studený front</t>
  </si>
  <si>
    <t>17:20-17:50</t>
  </si>
  <si>
    <t>Z-V</t>
  </si>
  <si>
    <t>7/8, prehánky, búrka</t>
  </si>
  <si>
    <t>5/8, ráno dymno</t>
  </si>
  <si>
    <t>1/8, slnečný deň, Saharský prach</t>
  </si>
  <si>
    <t>2/8, slnečný deň, v noci prehánky</t>
  </si>
  <si>
    <t>3/8, slnečný deň, ráno halový stĺp na Ac</t>
  </si>
  <si>
    <t>14:30-14:50</t>
  </si>
  <si>
    <t>ZSZ</t>
  </si>
  <si>
    <t>4/8, slnečný deň</t>
  </si>
  <si>
    <t>W , L</t>
  </si>
  <si>
    <t>V čase výskytu búrky (elektrickej aktivity) sa nad pozorovacím miestom zrážky nevyskytli</t>
  </si>
  <si>
    <t>W , L , D , Z</t>
  </si>
  <si>
    <t>Čiastočne lineárna organizácia s propagáciou pozdĺž outflow boundary. Iniciácia popoludní v Maďarsku v rámci stredu výškovej níže. Južne od pozorovacieho miesta pravdepodobne vnorená supercela s charakteristickým odklonom vpravo.</t>
  </si>
  <si>
    <t>16:45-18:20</t>
  </si>
  <si>
    <t>18:45-21:20</t>
  </si>
  <si>
    <t>P , D , Z</t>
  </si>
  <si>
    <t>7/8, v noci búrka</t>
  </si>
  <si>
    <t>Iniciácia v blízkosti centra výškovej níže v oblasti Košíc s kvázilineárnou propagáciou na SV. V rámci systému vnorené supercely. Atypický priebeh tlaku vzduchu a prúdenia v čase okolo 20:00 UTC - spočiatku zaznamenaný vzostup tlaku vzduchu s postupom meso high, následne prudký pokles a zosilnenie vetra, jeho stáčenie v smere SV-SZ-Z (spätná vlna na outflow boundary, alebo mezocyklóna/cirkulácia vyjadrená aj pri povrchu?).</t>
  </si>
  <si>
    <t>7:20-8:00</t>
  </si>
  <si>
    <t>9:10-10:10</t>
  </si>
  <si>
    <t>12:20-13:00</t>
  </si>
  <si>
    <t>V rámci vzduchovej hmoty</t>
  </si>
  <si>
    <t>L , D , Z</t>
  </si>
  <si>
    <t>V , D , Z</t>
  </si>
  <si>
    <t>Prevažne lineárna organizácia</t>
  </si>
  <si>
    <t>6/8, prehánky, búrka</t>
  </si>
  <si>
    <t>10:30-11:15</t>
  </si>
  <si>
    <t>12:30-12:50</t>
  </si>
  <si>
    <t xml:space="preserve">V </t>
  </si>
  <si>
    <t>9:45-10:05</t>
  </si>
  <si>
    <t>Vzdialená búrka v oblasti Domaše.</t>
  </si>
  <si>
    <t>6/8, v noci prehánky</t>
  </si>
  <si>
    <t>14:24-16:00</t>
  </si>
  <si>
    <t>ZSZ-VJV</t>
  </si>
  <si>
    <t>Prevažne elektricky aktívna stratiforma s cg+ výbojmi. Východne od pozorovacieho miesta pokus o regeneráciu a vznik novej, elektricky aktívnej bunky, ktorá postupne zanikala. Spozorované mammaty.</t>
  </si>
  <si>
    <t>3/8, slnečný deň, búrka</t>
  </si>
  <si>
    <t>16:49-21:00</t>
  </si>
  <si>
    <t>2/8, ráno dymno, slnečný deň</t>
  </si>
  <si>
    <t xml:space="preserve">Možná vnorená supercela postupujúca severne od pozorovacieho miesta. Bunka vykazovala slabú bleskovú aktivitu, no dlhšiu životnosť a odklon vpravo od prevládajúceho smeru postupu. </t>
  </si>
  <si>
    <t>14:30-14:45</t>
  </si>
  <si>
    <t>ZJZ-VSV</t>
  </si>
  <si>
    <t>12:45-13:40</t>
  </si>
  <si>
    <t>4/8, ráno hmla</t>
  </si>
  <si>
    <t>Iniciácia prebehla večer, pred frontom/v jeho teplej fáze. Na čele vznikajúcich buniek spozorovaný shelf cloud. Neskôr v závere života MCS viditeľné charakteristické MCV na radare.</t>
  </si>
  <si>
    <t>6/8, večer búrka</t>
  </si>
  <si>
    <t>16:30-22:30</t>
  </si>
  <si>
    <t>supercela</t>
  </si>
  <si>
    <t>11:50-13:40</t>
  </si>
  <si>
    <t>Iniciácia nad Košicami a následne postup na SV. Nad Ortášmi významne zosilnenie bunky a vysoká blesková aktivita, krúpy do 0,5 cm. Po prejdení Slanských vrchov možný downburst a významný outflow, ktorý bol viditeľný aj na radare v podobe prstenca. Je možné, že sa jednalo o RFD a radarová signatúra mohla byť vzhľadom na tvar a pozíciu južne od jadra výrazná flanking line. V obci Zámutov náraz vetra 21,9 m/s podľa meraní PWS. Po outflowe rozpad bunky a postup ďalej na SV, pričom v rámci stratiformného regiónu sa ešte vyskytovali výboje, ktoré boli pozorovaciemu miesto najbližšie.</t>
  </si>
  <si>
    <t>7/8, ráno hmla, búrka</t>
  </si>
  <si>
    <t>15:50-17:10</t>
  </si>
  <si>
    <t>JV-SZ</t>
  </si>
  <si>
    <t>6/8, ráno hmla, prehánky</t>
  </si>
  <si>
    <t xml:space="preserve">3/8, ráno hmla </t>
  </si>
  <si>
    <t>1/8, slnečný deň, ráno hmla</t>
  </si>
  <si>
    <t xml:space="preserve">4/8, slnečný deň </t>
  </si>
  <si>
    <t>4/8, prehánky</t>
  </si>
  <si>
    <t>12:20-14:15</t>
  </si>
  <si>
    <t>Iniciácia v oblasti Karpát východne od pozorovacieho miesta a následná lineárna propagácia západným smerom. Pred pozorovacím miestom rozpad línie a zosilnenie bunky severne od pozorovacieho miesta, ktorá prechádzala od Stropkova smerom na Bardejov a mohla byť supercelárna. Viditeľný bol dobre separovaný výstupný s wall cloudom a zostupný prúd, pri ktorom sa mohol v čase okolo 13:30 UTC vyskytnúť downburst - záznam s kamery zobrazuje v tom čase zatočenie zrážkovej steny pri povrchu a následné prehnutie bunky v smere postupu vplyvom silného outflowu na radare so zmenou propoagácie viacej smerom na SZ. V rovnakom čase zaznamenané najsilnejšie nárazy vetra nad pozorovacím miestom. Na zadnej strane systému spozorované mammaty.</t>
  </si>
  <si>
    <t>stacionárna</t>
  </si>
  <si>
    <t>unicela</t>
  </si>
  <si>
    <t>nevýrazné tlakové pole</t>
  </si>
  <si>
    <t>9:50-10:20</t>
  </si>
  <si>
    <t>Vznik na severnej strane Slanských vrchov.</t>
  </si>
  <si>
    <t>12:35-14:00</t>
  </si>
  <si>
    <t>Vznik prebehol spočiatku severne od pozorovacieho miesta, pravdepodobne kombináciou outflowu a orografie. Bunka dosahovala krátkodobo vysokú radarovú odrazivosť a po jej rozpade sa vytvorili hneď na to v oblasti pozorovacieho miesta nové, no slabšie konvektívne bunky, ktoré priniesli veľmi lokálne na silné zrážky charakteristické pre oblasť výraznejšieho výstupného prúdu - veľké kvapky a menšie krúpy. Väčšina zrážok spadla mimo pozorovacieho miesta, cca 1,5 km na JZ.</t>
  </si>
  <si>
    <t>6/8, búrka, ráno dymno</t>
  </si>
  <si>
    <t xml:space="preserve">3/8, slnečný deň, ráno hmla </t>
  </si>
  <si>
    <t>W , P , D , K , Z</t>
  </si>
  <si>
    <t>D , K ,  Z</t>
  </si>
  <si>
    <t>3/8, slnečný deň, ráno dymno</t>
  </si>
  <si>
    <t>6/8, ráno dymno, búrka</t>
  </si>
  <si>
    <t>Zvlnený studený front</t>
  </si>
  <si>
    <t>15:00-16:50</t>
  </si>
  <si>
    <t>Iniciácia východne od pozorovacieho miesta v podobe línie niekoľkých silných, pravdepodobne supercelárnych buniek, ktoré vykazovali backbuilding.</t>
  </si>
  <si>
    <t>JJV-SSZ</t>
  </si>
  <si>
    <t>Vznik severne od Hanušoviec nad Topľou.</t>
  </si>
  <si>
    <t>VSV-ZJZ</t>
  </si>
  <si>
    <t>13:40-15:40</t>
  </si>
  <si>
    <t>Pred pozorovacím miestom postupný rozpad. Na južnej strane pravdepodobná supercela - dlhá životnosť, odklon napravo od prevládajúceho postupu.</t>
  </si>
  <si>
    <t>11:35-13:00</t>
  </si>
  <si>
    <t>Vznik ako multicelárny zhluk východne od pozoracieho miesta. Jedna z buniek vykazovala odklon na pravo od pozorovacieho miesta, štiepenie, dlhšiu životnosť, inflow tail a dobre separovaný výstupný a zostupný prúd, preto je možné, že šlo o supercelu. Bunka postupovala kilometer od pozorovacieho miesta a priniesla intenzívne zrážky. Pri prechode autom cez zrážkovú stenu pokles dohľadnosti na niekoľko 10 m.</t>
  </si>
  <si>
    <t xml:space="preserve"> P , D , Z</t>
  </si>
  <si>
    <t>16:00-18:00</t>
  </si>
  <si>
    <t>18:25-19:30</t>
  </si>
  <si>
    <t>Vznik na zadnej strane MCS, s ktorým bola prepojená.</t>
  </si>
  <si>
    <t>Vznik prebehol pôvodne v Maďarsku, kde sa vplyvom rozsiahlej absencie oblačnosti iniciovala rozsiahla diurnálne poháňaná konvekcia, z ktorej neskôr vznikol MCS propagujúci sa smerom na SZ. Pozdĺž gust frontu boli iniciované nová bunky v okolí Vranova nad Topľou, ktoré dosahovali veľmi vysokú radarovú odrazivosť (70 dBZ) a ich zostupnú prúdy výrazne posilnili bazén studeného vzduchu, ktorý postupoval rýchlo smerom na SZ v podobe línie na čele systému sprevádzanej výrazným shelf cloudom a nárazovým vetrom.</t>
  </si>
  <si>
    <t>7/8, ráno prehánky, búrka</t>
  </si>
  <si>
    <t>2/8, slnečný deň, ráno hmla</t>
  </si>
  <si>
    <t>5/8, v noci búrka</t>
  </si>
  <si>
    <t>20:30-21:40</t>
  </si>
  <si>
    <t>6/8, ráno hmla, halové javy (22° halo)</t>
  </si>
  <si>
    <t>6/8, ráno hmla, večer búrka</t>
  </si>
  <si>
    <t>18:45-20:15</t>
  </si>
  <si>
    <t>7/8, ráno hmla</t>
  </si>
  <si>
    <t>7/8, v noci hmla</t>
  </si>
  <si>
    <t>7/8, ráno hmla, prehánky</t>
  </si>
  <si>
    <t>8/8, ráno dymno</t>
  </si>
  <si>
    <t>8/8, hmla</t>
  </si>
  <si>
    <t>7/8, hmla, prehánky</t>
  </si>
  <si>
    <t>8/8, ráno hlma</t>
  </si>
  <si>
    <t>6/8, ráno dymno</t>
  </si>
  <si>
    <t>3/8, ráno hmla</t>
  </si>
  <si>
    <t>2/8, ráno hmla, slnečný deň</t>
  </si>
  <si>
    <t>4/8, halové javy (22 ° halo, pravdepodobne parhelia a cirkumzenitálny oblúk), ráno dymno</t>
  </si>
  <si>
    <t>2/8</t>
  </si>
  <si>
    <t>8/8, dymno</t>
  </si>
  <si>
    <t>brázda nízkeho tlaku vzduchu</t>
  </si>
  <si>
    <t>6/8, ráno a večer hmla</t>
  </si>
  <si>
    <t>8/8, ráno hmla, mrholenie</t>
  </si>
  <si>
    <t>8/8, nadránom hmla</t>
  </si>
  <si>
    <t>8/8, ráno hmla, dymno</t>
  </si>
  <si>
    <t>8/8, ráno dymno, mrholenie</t>
  </si>
  <si>
    <t>Konvekcia postupujúca v nevýraznej línii, resp. obnovujúca sa pozdĺž nevýrazného rozhrania postupujúceho od severozápadu. Na západnom okraji sa konvekcia obnovovala a bola intenzívnejšia, sprevádzaná bleskovou aktivitou. Je možné, že západná bunka bola supercela.</t>
  </si>
  <si>
    <t>14:00-15:15</t>
  </si>
  <si>
    <t>8/8, rámo hmla</t>
  </si>
  <si>
    <t>U , Z</t>
  </si>
  <si>
    <t>7/8, večer hmla</t>
  </si>
  <si>
    <t>8/8, hmla, mrholenie</t>
  </si>
  <si>
    <t>6/8, NSP, halové javy (22 ° halo)</t>
  </si>
  <si>
    <t>8/8, NSP, hmla</t>
  </si>
  <si>
    <t>8/8, ráno dymno, v noci hmla</t>
  </si>
  <si>
    <t>7/8, ráno dymno, popoludní hmla</t>
  </si>
  <si>
    <t>8/8, zamrznutý dážď</t>
  </si>
  <si>
    <t>8/8, zvírený sneh, SSP</t>
  </si>
  <si>
    <t>8/8, hmla, SSP</t>
  </si>
  <si>
    <t>5/8, SSP</t>
  </si>
  <si>
    <t>7/8, SSP</t>
  </si>
  <si>
    <t>8/8, SSP, večer hmla</t>
  </si>
  <si>
    <t>8/8, SSP, hmla</t>
  </si>
  <si>
    <t>6/8, hmla, NSP</t>
  </si>
  <si>
    <t>8/8, ráno dymno, NSP</t>
  </si>
  <si>
    <t>8/8, celodenná hmla</t>
  </si>
  <si>
    <t>8/8, ráno dymno, večer hmla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</si>
</sst>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&quot; °C&quot;"/>
    <numFmt numFmtId="165" formatCode="0.0&quot; hPa&quot;"/>
    <numFmt numFmtId="166" formatCode="0.0&quot; %&quot;"/>
    <numFmt numFmtId="167" formatCode="0.0&quot; m/s&quot;"/>
    <numFmt numFmtId="168" formatCode="0.0&quot; km&quot;"/>
    <numFmt numFmtId="169" formatCode="0.0&quot; mm/h&quot;"/>
    <numFmt numFmtId="170" formatCode="0.0&quot; mm&quot;"/>
    <numFmt numFmtId="171" formatCode="0.0&quot; cm&quot;"/>
    <numFmt numFmtId="172" formatCode="0&quot; dBz&quot;"/>
    <numFmt numFmtId="173" formatCode="0&quot; bleskov&quot;"/>
    <numFmt numFmtId="174" formatCode="0&quot; X&quot;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D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399975585192419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7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4" xfId="0" applyNumberFormat="1" applyBorder="1" applyAlignment="1">
      <alignment wrapText="1"/>
    </xf>
    <xf numFmtId="167" fontId="0" fillId="0" borderId="5" xfId="0" applyNumberFormat="1" applyBorder="1" applyAlignment="1">
      <alignment wrapText="1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5" xfId="0" applyNumberFormat="1" applyBorder="1" applyAlignment="1">
      <alignment wrapText="1"/>
    </xf>
    <xf numFmtId="170" fontId="0" fillId="0" borderId="0" xfId="0" applyNumberFormat="1"/>
    <xf numFmtId="171" fontId="0" fillId="0" borderId="5" xfId="0" applyNumberFormat="1" applyBorder="1" applyAlignment="1">
      <alignment wrapText="1"/>
    </xf>
    <xf numFmtId="171" fontId="0" fillId="0" borderId="0" xfId="0" applyNumberFormat="1"/>
    <xf numFmtId="171" fontId="0" fillId="0" borderId="6" xfId="0" applyNumberFormat="1" applyBorder="1" applyAlignment="1">
      <alignment wrapText="1"/>
    </xf>
    <xf numFmtId="164" fontId="0" fillId="0" borderId="7" xfId="0" applyNumberFormat="1" applyBorder="1"/>
    <xf numFmtId="0" fontId="0" fillId="0" borderId="9" xfId="0" applyBorder="1"/>
    <xf numFmtId="169" fontId="0" fillId="2" borderId="7" xfId="0" applyNumberFormat="1" applyFill="1" applyBorder="1"/>
    <xf numFmtId="170" fontId="0" fillId="2" borderId="7" xfId="0" applyNumberFormat="1" applyFill="1" applyBorder="1"/>
    <xf numFmtId="171" fontId="0" fillId="2" borderId="7" xfId="0" applyNumberFormat="1" applyFill="1" applyBorder="1"/>
    <xf numFmtId="167" fontId="0" fillId="2" borderId="7" xfId="0" applyNumberFormat="1" applyFill="1" applyBorder="1"/>
    <xf numFmtId="0" fontId="0" fillId="0" borderId="7" xfId="0" applyBorder="1"/>
    <xf numFmtId="165" fontId="0" fillId="0" borderId="7" xfId="0" applyNumberFormat="1" applyBorder="1"/>
    <xf numFmtId="164" fontId="0" fillId="0" borderId="14" xfId="0" applyNumberFormat="1" applyBorder="1"/>
    <xf numFmtId="165" fontId="0" fillId="0" borderId="5" xfId="0" applyNumberFormat="1" applyBorder="1"/>
    <xf numFmtId="166" fontId="0" fillId="0" borderId="7" xfId="0" applyNumberFormat="1" applyBorder="1"/>
    <xf numFmtId="167" fontId="0" fillId="0" borderId="7" xfId="0" applyNumberFormat="1" applyBorder="1"/>
    <xf numFmtId="169" fontId="0" fillId="0" borderId="7" xfId="0" applyNumberFormat="1" applyBorder="1"/>
    <xf numFmtId="170" fontId="0" fillId="0" borderId="7" xfId="0" applyNumberFormat="1" applyBorder="1"/>
    <xf numFmtId="171" fontId="0" fillId="0" borderId="7" xfId="0" applyNumberFormat="1" applyBorder="1"/>
    <xf numFmtId="171" fontId="0" fillId="0" borderId="24" xfId="0" applyNumberFormat="1" applyBorder="1"/>
    <xf numFmtId="164" fontId="0" fillId="0" borderId="25" xfId="0" applyNumberFormat="1" applyBorder="1"/>
    <xf numFmtId="166" fontId="0" fillId="0" borderId="25" xfId="0" applyNumberFormat="1" applyBorder="1"/>
    <xf numFmtId="165" fontId="0" fillId="0" borderId="25" xfId="0" applyNumberFormat="1" applyBorder="1"/>
    <xf numFmtId="167" fontId="0" fillId="0" borderId="25" xfId="0" applyNumberFormat="1" applyBorder="1"/>
    <xf numFmtId="0" fontId="0" fillId="0" borderId="25" xfId="0" applyBorder="1"/>
    <xf numFmtId="164" fontId="0" fillId="0" borderId="5" xfId="0" applyNumberFormat="1" applyBorder="1"/>
    <xf numFmtId="0" fontId="0" fillId="0" borderId="28" xfId="0" applyBorder="1"/>
    <xf numFmtId="0" fontId="0" fillId="0" borderId="5" xfId="0" applyBorder="1"/>
    <xf numFmtId="14" fontId="0" fillId="0" borderId="26" xfId="0" applyNumberFormat="1" applyBorder="1"/>
    <xf numFmtId="164" fontId="0" fillId="0" borderId="23" xfId="0" applyNumberFormat="1" applyBorder="1"/>
    <xf numFmtId="164" fontId="0" fillId="0" borderId="13" xfId="0" applyNumberFormat="1" applyBorder="1"/>
    <xf numFmtId="167" fontId="0" fillId="0" borderId="14" xfId="0" applyNumberFormat="1" applyBorder="1"/>
    <xf numFmtId="171" fontId="0" fillId="2" borderId="24" xfId="0" applyNumberFormat="1" applyFill="1" applyBorder="1"/>
    <xf numFmtId="169" fontId="0" fillId="0" borderId="14" xfId="0" applyNumberFormat="1" applyBorder="1"/>
    <xf numFmtId="170" fontId="0" fillId="0" borderId="14" xfId="0" applyNumberFormat="1" applyBorder="1"/>
    <xf numFmtId="171" fontId="0" fillId="0" borderId="14" xfId="0" applyNumberFormat="1" applyBorder="1"/>
    <xf numFmtId="171" fontId="0" fillId="0" borderId="16" xfId="0" applyNumberFormat="1" applyBorder="1"/>
    <xf numFmtId="0" fontId="1" fillId="0" borderId="10" xfId="0" applyFont="1" applyBorder="1" applyAlignment="1">
      <alignment horizontal="center" vertical="center"/>
    </xf>
    <xf numFmtId="164" fontId="0" fillId="0" borderId="4" xfId="0" applyNumberFormat="1" applyBorder="1"/>
    <xf numFmtId="169" fontId="0" fillId="0" borderId="4" xfId="0" applyNumberFormat="1" applyBorder="1" applyAlignment="1">
      <alignment wrapText="1"/>
    </xf>
    <xf numFmtId="165" fontId="0" fillId="0" borderId="28" xfId="0" applyNumberFormat="1" applyBorder="1"/>
    <xf numFmtId="167" fontId="0" fillId="0" borderId="21" xfId="0" applyNumberFormat="1" applyBorder="1"/>
    <xf numFmtId="167" fontId="0" fillId="2" borderId="21" xfId="0" applyNumberFormat="1" applyFill="1" applyBorder="1"/>
    <xf numFmtId="167" fontId="0" fillId="0" borderId="32" xfId="0" applyNumberFormat="1" applyBorder="1"/>
    <xf numFmtId="164" fontId="0" fillId="0" borderId="20" xfId="0" applyNumberFormat="1" applyBorder="1"/>
    <xf numFmtId="0" fontId="0" fillId="2" borderId="7" xfId="0" applyFill="1" applyBorder="1"/>
    <xf numFmtId="165" fontId="0" fillId="0" borderId="24" xfId="0" applyNumberFormat="1" applyBorder="1"/>
    <xf numFmtId="166" fontId="0" fillId="0" borderId="14" xfId="0" applyNumberFormat="1" applyBorder="1"/>
    <xf numFmtId="165" fontId="0" fillId="0" borderId="14" xfId="0" applyNumberFormat="1" applyBorder="1"/>
    <xf numFmtId="165" fontId="0" fillId="0" borderId="16" xfId="0" applyNumberFormat="1" applyBorder="1"/>
    <xf numFmtId="165" fontId="0" fillId="0" borderId="40" xfId="0" applyNumberFormat="1" applyBorder="1"/>
    <xf numFmtId="167" fontId="0" fillId="0" borderId="23" xfId="0" applyNumberFormat="1" applyBorder="1"/>
    <xf numFmtId="167" fontId="0" fillId="2" borderId="23" xfId="0" applyNumberFormat="1" applyFill="1" applyBorder="1"/>
    <xf numFmtId="167" fontId="0" fillId="0" borderId="13" xfId="0" applyNumberFormat="1" applyBorder="1"/>
    <xf numFmtId="164" fontId="0" fillId="0" borderId="39" xfId="0" applyNumberFormat="1" applyBorder="1"/>
    <xf numFmtId="164" fontId="0" fillId="0" borderId="26" xfId="0" applyNumberFormat="1" applyBorder="1"/>
    <xf numFmtId="167" fontId="0" fillId="0" borderId="28" xfId="0" applyNumberFormat="1" applyBorder="1" applyAlignment="1">
      <alignment wrapText="1"/>
    </xf>
    <xf numFmtId="164" fontId="0" fillId="0" borderId="24" xfId="0" applyNumberFormat="1" applyBorder="1"/>
    <xf numFmtId="164" fontId="0" fillId="0" borderId="16" xfId="0" applyNumberFormat="1" applyBorder="1"/>
    <xf numFmtId="166" fontId="0" fillId="0" borderId="24" xfId="0" applyNumberFormat="1" applyBorder="1"/>
    <xf numFmtId="166" fontId="0" fillId="0" borderId="16" xfId="0" applyNumberFormat="1" applyBorder="1"/>
    <xf numFmtId="1" fontId="0" fillId="0" borderId="7" xfId="0" applyNumberFormat="1" applyBorder="1"/>
    <xf numFmtId="164" fontId="0" fillId="0" borderId="40" xfId="0" applyNumberFormat="1" applyBorder="1"/>
    <xf numFmtId="166" fontId="0" fillId="0" borderId="23" xfId="0" applyNumberFormat="1" applyBorder="1"/>
    <xf numFmtId="166" fontId="0" fillId="0" borderId="13" xfId="0" applyNumberFormat="1" applyBorder="1"/>
    <xf numFmtId="0" fontId="0" fillId="0" borderId="5" xfId="0" applyBorder="1" applyAlignment="1">
      <alignment wrapText="1"/>
    </xf>
    <xf numFmtId="1" fontId="0" fillId="0" borderId="25" xfId="0" applyNumberFormat="1" applyBorder="1"/>
    <xf numFmtId="1" fontId="0" fillId="0" borderId="37" xfId="0" applyNumberFormat="1" applyBorder="1"/>
    <xf numFmtId="1" fontId="0" fillId="0" borderId="38" xfId="0" applyNumberFormat="1" applyBorder="1"/>
    <xf numFmtId="1" fontId="1" fillId="23" borderId="1" xfId="0" applyNumberFormat="1" applyFont="1" applyFill="1" applyBorder="1" applyAlignment="1">
      <alignment horizontal="left" vertical="center"/>
    </xf>
    <xf numFmtId="1" fontId="0" fillId="23" borderId="5" xfId="0" applyNumberFormat="1" applyFill="1" applyBorder="1"/>
    <xf numFmtId="1" fontId="0" fillId="0" borderId="21" xfId="0" applyNumberFormat="1" applyBorder="1"/>
    <xf numFmtId="1" fontId="0" fillId="23" borderId="28" xfId="0" applyNumberFormat="1" applyFill="1" applyBorder="1"/>
    <xf numFmtId="1" fontId="0" fillId="0" borderId="26" xfId="0" applyNumberFormat="1" applyBorder="1"/>
    <xf numFmtId="1" fontId="0" fillId="23" borderId="29" xfId="0" applyNumberFormat="1" applyFill="1" applyBorder="1"/>
    <xf numFmtId="1" fontId="0" fillId="0" borderId="27" xfId="0" applyNumberFormat="1" applyBorder="1"/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33" xfId="0" applyBorder="1"/>
    <xf numFmtId="164" fontId="3" fillId="0" borderId="5" xfId="0" applyNumberFormat="1" applyFont="1" applyBorder="1"/>
    <xf numFmtId="0" fontId="3" fillId="0" borderId="6" xfId="0" applyFont="1" applyBorder="1"/>
    <xf numFmtId="169" fontId="0" fillId="2" borderId="25" xfId="0" applyNumberFormat="1" applyFill="1" applyBorder="1"/>
    <xf numFmtId="170" fontId="0" fillId="2" borderId="25" xfId="0" applyNumberFormat="1" applyFill="1" applyBorder="1"/>
    <xf numFmtId="171" fontId="0" fillId="2" borderId="25" xfId="0" applyNumberFormat="1" applyFill="1" applyBorder="1"/>
    <xf numFmtId="0" fontId="4" fillId="0" borderId="31" xfId="0" applyFont="1" applyBorder="1"/>
    <xf numFmtId="166" fontId="0" fillId="0" borderId="40" xfId="0" applyNumberFormat="1" applyBorder="1"/>
    <xf numFmtId="167" fontId="0" fillId="0" borderId="27" xfId="0" applyNumberFormat="1" applyBorder="1"/>
    <xf numFmtId="167" fontId="0" fillId="0" borderId="39" xfId="0" applyNumberFormat="1" applyBorder="1"/>
    <xf numFmtId="171" fontId="0" fillId="2" borderId="40" xfId="0" applyNumberFormat="1" applyFill="1" applyBorder="1"/>
    <xf numFmtId="166" fontId="0" fillId="0" borderId="39" xfId="0" applyNumberFormat="1" applyBorder="1"/>
    <xf numFmtId="0" fontId="0" fillId="0" borderId="45" xfId="0" applyBorder="1"/>
    <xf numFmtId="0" fontId="0" fillId="0" borderId="46" xfId="0" applyBorder="1"/>
    <xf numFmtId="165" fontId="0" fillId="0" borderId="23" xfId="0" applyNumberFormat="1" applyBorder="1"/>
    <xf numFmtId="165" fontId="0" fillId="0" borderId="13" xfId="0" applyNumberFormat="1" applyBorder="1"/>
    <xf numFmtId="165" fontId="0" fillId="0" borderId="39" xfId="0" applyNumberFormat="1" applyBorder="1"/>
    <xf numFmtId="166" fontId="3" fillId="0" borderId="4" xfId="0" applyNumberFormat="1" applyFont="1" applyBorder="1"/>
    <xf numFmtId="166" fontId="3" fillId="0" borderId="5" xfId="0" applyNumberFormat="1" applyFont="1" applyBorder="1"/>
    <xf numFmtId="0" fontId="0" fillId="0" borderId="6" xfId="0" applyBorder="1"/>
    <xf numFmtId="20" fontId="0" fillId="0" borderId="29" xfId="0" applyNumberFormat="1" applyBorder="1" applyAlignment="1">
      <alignment wrapText="1"/>
    </xf>
    <xf numFmtId="169" fontId="0" fillId="0" borderId="28" xfId="0" applyNumberFormat="1" applyBorder="1" applyAlignment="1">
      <alignment wrapText="1"/>
    </xf>
    <xf numFmtId="0" fontId="0" fillId="22" borderId="7" xfId="0" applyFill="1" applyBorder="1" applyAlignment="1">
      <alignment horizontal="center" wrapText="1"/>
    </xf>
    <xf numFmtId="0" fontId="1" fillId="0" borderId="37" xfId="0" applyFont="1" applyBorder="1" applyAlignment="1">
      <alignment vertical="center" wrapText="1"/>
    </xf>
    <xf numFmtId="0" fontId="1" fillId="27" borderId="5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26" borderId="4" xfId="0" applyFont="1" applyFill="1" applyBorder="1" applyAlignment="1">
      <alignment horizontal="center" vertical="center" wrapText="1"/>
    </xf>
    <xf numFmtId="0" fontId="7" fillId="26" borderId="5" xfId="0" applyFont="1" applyFill="1" applyBorder="1" applyAlignment="1">
      <alignment horizontal="center" vertical="center" wrapText="1"/>
    </xf>
    <xf numFmtId="0" fontId="7" fillId="26" borderId="6" xfId="0" applyFont="1" applyFill="1" applyBorder="1" applyAlignment="1">
      <alignment horizontal="center" vertical="center" wrapText="1"/>
    </xf>
    <xf numFmtId="0" fontId="7" fillId="28" borderId="5" xfId="0" applyFont="1" applyFill="1" applyBorder="1" applyAlignment="1">
      <alignment horizontal="center" vertical="center" wrapText="1"/>
    </xf>
    <xf numFmtId="0" fontId="7" fillId="28" borderId="2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20" borderId="4" xfId="0" applyFont="1" applyFill="1" applyBorder="1" applyAlignment="1">
      <alignment vertical="center" wrapText="1"/>
    </xf>
    <xf numFmtId="0" fontId="0" fillId="20" borderId="5" xfId="0" applyFill="1" applyBorder="1" applyAlignment="1">
      <alignment vertical="center" wrapText="1"/>
    </xf>
    <xf numFmtId="172" fontId="0" fillId="20" borderId="5" xfId="0" applyNumberFormat="1" applyFill="1" applyBorder="1" applyAlignment="1">
      <alignment vertical="center" wrapText="1"/>
    </xf>
    <xf numFmtId="0" fontId="7" fillId="20" borderId="5" xfId="0" applyFont="1" applyFill="1" applyBorder="1" applyAlignment="1">
      <alignment horizontal="center" vertical="center" wrapText="1"/>
    </xf>
    <xf numFmtId="0" fontId="1" fillId="20" borderId="5" xfId="0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72" fontId="0" fillId="0" borderId="7" xfId="0" applyNumberFormat="1" applyBorder="1" applyAlignment="1">
      <alignment vertical="center" wrapText="1"/>
    </xf>
    <xf numFmtId="168" fontId="0" fillId="0" borderId="7" xfId="0" applyNumberFormat="1" applyBorder="1" applyAlignment="1">
      <alignment vertical="center" wrapText="1"/>
    </xf>
    <xf numFmtId="167" fontId="0" fillId="0" borderId="7" xfId="0" applyNumberFormat="1" applyBorder="1" applyAlignment="1">
      <alignment vertical="center" wrapText="1"/>
    </xf>
    <xf numFmtId="169" fontId="0" fillId="0" borderId="7" xfId="0" applyNumberFormat="1" applyBorder="1" applyAlignment="1">
      <alignment vertical="center" wrapText="1"/>
    </xf>
    <xf numFmtId="170" fontId="0" fillId="0" borderId="7" xfId="0" applyNumberFormat="1" applyBorder="1" applyAlignment="1">
      <alignment vertical="center" wrapText="1"/>
    </xf>
    <xf numFmtId="171" fontId="0" fillId="0" borderId="7" xfId="0" applyNumberFormat="1" applyBorder="1" applyAlignment="1">
      <alignment vertical="center" wrapText="1"/>
    </xf>
    <xf numFmtId="14" fontId="9" fillId="20" borderId="4" xfId="0" applyNumberFormat="1" applyFont="1" applyFill="1" applyBorder="1" applyAlignment="1">
      <alignment vertical="center" wrapText="1"/>
    </xf>
    <xf numFmtId="168" fontId="0" fillId="20" borderId="5" xfId="0" applyNumberFormat="1" applyFill="1" applyBorder="1" applyAlignment="1">
      <alignment vertical="center" wrapText="1"/>
    </xf>
    <xf numFmtId="167" fontId="0" fillId="20" borderId="5" xfId="0" applyNumberFormat="1" applyFill="1" applyBorder="1" applyAlignment="1">
      <alignment vertical="center" wrapText="1"/>
    </xf>
    <xf numFmtId="169" fontId="0" fillId="20" borderId="5" xfId="0" applyNumberFormat="1" applyFill="1" applyBorder="1" applyAlignment="1">
      <alignment vertical="center" wrapText="1"/>
    </xf>
    <xf numFmtId="170" fontId="0" fillId="20" borderId="5" xfId="0" applyNumberFormat="1" applyFill="1" applyBorder="1" applyAlignment="1">
      <alignment vertical="center" wrapText="1"/>
    </xf>
    <xf numFmtId="171" fontId="0" fillId="20" borderId="5" xfId="0" applyNumberFormat="1" applyFill="1" applyBorder="1" applyAlignment="1">
      <alignment vertical="center" wrapText="1"/>
    </xf>
    <xf numFmtId="0" fontId="0" fillId="20" borderId="29" xfId="0" applyFill="1" applyBorder="1" applyAlignment="1">
      <alignment vertical="center" wrapText="1"/>
    </xf>
    <xf numFmtId="14" fontId="0" fillId="0" borderId="37" xfId="0" applyNumberForma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172" fontId="0" fillId="0" borderId="37" xfId="0" applyNumberFormat="1" applyBorder="1" applyAlignment="1">
      <alignment vertical="center" wrapText="1"/>
    </xf>
    <xf numFmtId="168" fontId="0" fillId="0" borderId="37" xfId="0" applyNumberFormat="1" applyBorder="1" applyAlignment="1">
      <alignment vertical="center" wrapText="1"/>
    </xf>
    <xf numFmtId="167" fontId="0" fillId="0" borderId="37" xfId="0" applyNumberFormat="1" applyBorder="1" applyAlignment="1">
      <alignment vertical="center" wrapText="1"/>
    </xf>
    <xf numFmtId="169" fontId="0" fillId="0" borderId="37" xfId="0" applyNumberFormat="1" applyBorder="1" applyAlignment="1">
      <alignment vertical="center" wrapText="1"/>
    </xf>
    <xf numFmtId="170" fontId="0" fillId="0" borderId="37" xfId="0" applyNumberFormat="1" applyBorder="1" applyAlignment="1">
      <alignment vertical="center" wrapText="1"/>
    </xf>
    <xf numFmtId="171" fontId="0" fillId="0" borderId="37" xfId="0" applyNumberFormat="1" applyBorder="1" applyAlignment="1">
      <alignment vertical="center" wrapText="1"/>
    </xf>
    <xf numFmtId="14" fontId="4" fillId="20" borderId="37" xfId="0" applyNumberFormat="1" applyFont="1" applyFill="1" applyBorder="1" applyAlignment="1">
      <alignment vertical="center" wrapText="1"/>
    </xf>
    <xf numFmtId="20" fontId="0" fillId="0" borderId="37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2" borderId="7" xfId="0" applyFill="1" applyBorder="1" applyAlignment="1">
      <alignment horizontal="center"/>
    </xf>
    <xf numFmtId="0" fontId="0" fillId="2" borderId="37" xfId="0" applyFill="1" applyBorder="1"/>
    <xf numFmtId="0" fontId="0" fillId="0" borderId="7" xfId="0" applyBorder="1" applyAlignment="1">
      <alignment horizontal="center" vertical="center" wrapText="1"/>
    </xf>
    <xf numFmtId="0" fontId="0" fillId="17" borderId="7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14" fontId="4" fillId="20" borderId="4" xfId="0" applyNumberFormat="1" applyFont="1" applyFill="1" applyBorder="1" applyAlignment="1">
      <alignment vertical="center" wrapText="1"/>
    </xf>
    <xf numFmtId="172" fontId="0" fillId="0" borderId="5" xfId="0" applyNumberFormat="1" applyBorder="1" applyAlignment="1">
      <alignment vertical="center" wrapText="1"/>
    </xf>
    <xf numFmtId="168" fontId="0" fillId="0" borderId="5" xfId="0" applyNumberFormat="1" applyBorder="1" applyAlignment="1">
      <alignment vertical="center" wrapText="1"/>
    </xf>
    <xf numFmtId="167" fontId="0" fillId="0" borderId="5" xfId="0" applyNumberFormat="1" applyBorder="1" applyAlignment="1">
      <alignment vertical="center" wrapText="1"/>
    </xf>
    <xf numFmtId="169" fontId="0" fillId="0" borderId="5" xfId="0" applyNumberFormat="1" applyBorder="1" applyAlignment="1">
      <alignment vertical="center" wrapText="1"/>
    </xf>
    <xf numFmtId="170" fontId="0" fillId="0" borderId="5" xfId="0" applyNumberFormat="1" applyBorder="1" applyAlignment="1">
      <alignment vertical="center" wrapText="1"/>
    </xf>
    <xf numFmtId="171" fontId="0" fillId="0" borderId="5" xfId="0" applyNumberFormat="1" applyBorder="1" applyAlignment="1">
      <alignment vertical="center" wrapText="1"/>
    </xf>
    <xf numFmtId="165" fontId="0" fillId="0" borderId="49" xfId="0" applyNumberFormat="1" applyBorder="1"/>
    <xf numFmtId="166" fontId="0" fillId="0" borderId="48" xfId="0" applyNumberFormat="1" applyBorder="1"/>
    <xf numFmtId="166" fontId="0" fillId="0" borderId="49" xfId="0" applyNumberFormat="1" applyBorder="1"/>
    <xf numFmtId="166" fontId="0" fillId="0" borderId="27" xfId="0" applyNumberFormat="1" applyBorder="1"/>
    <xf numFmtId="166" fontId="0" fillId="0" borderId="50" xfId="0" applyNumberFormat="1" applyBorder="1"/>
    <xf numFmtId="173" fontId="7" fillId="28" borderId="4" xfId="0" applyNumberFormat="1" applyFont="1" applyFill="1" applyBorder="1" applyAlignment="1">
      <alignment horizontal="center" vertical="center" wrapText="1"/>
    </xf>
    <xf numFmtId="173" fontId="0" fillId="0" borderId="7" xfId="0" applyNumberFormat="1" applyBorder="1" applyAlignment="1">
      <alignment vertical="center" wrapText="1"/>
    </xf>
    <xf numFmtId="173" fontId="7" fillId="20" borderId="5" xfId="0" applyNumberFormat="1" applyFont="1" applyFill="1" applyBorder="1" applyAlignment="1">
      <alignment horizontal="center" vertical="center" wrapText="1"/>
    </xf>
    <xf numFmtId="173" fontId="0" fillId="20" borderId="5" xfId="0" applyNumberFormat="1" applyFill="1" applyBorder="1" applyAlignment="1">
      <alignment vertical="center" wrapText="1"/>
    </xf>
    <xf numFmtId="173" fontId="0" fillId="0" borderId="37" xfId="0" applyNumberFormat="1" applyBorder="1" applyAlignment="1">
      <alignment vertical="center" wrapText="1"/>
    </xf>
    <xf numFmtId="173" fontId="0" fillId="0" borderId="5" xfId="0" applyNumberFormat="1" applyBorder="1" applyAlignment="1">
      <alignment vertical="center" wrapText="1"/>
    </xf>
    <xf numFmtId="173" fontId="0" fillId="0" borderId="7" xfId="0" applyNumberFormat="1" applyBorder="1" applyAlignment="1">
      <alignment horizontal="center" vertical="center" wrapText="1"/>
    </xf>
    <xf numFmtId="173" fontId="2" fillId="2" borderId="7" xfId="0" applyNumberFormat="1" applyFont="1" applyFill="1" applyBorder="1" applyAlignment="1">
      <alignment horizontal="center"/>
    </xf>
    <xf numFmtId="164" fontId="0" fillId="0" borderId="21" xfId="0" applyNumberFormat="1" applyBorder="1"/>
    <xf numFmtId="164" fontId="0" fillId="0" borderId="32" xfId="0" applyNumberFormat="1" applyBorder="1"/>
    <xf numFmtId="0" fontId="1" fillId="0" borderId="31" xfId="0" applyFont="1" applyBorder="1" applyAlignment="1">
      <alignment horizontal="center" vertical="center"/>
    </xf>
    <xf numFmtId="0" fontId="0" fillId="20" borderId="18" xfId="0" applyFill="1" applyBorder="1"/>
    <xf numFmtId="0" fontId="0" fillId="20" borderId="9" xfId="0" applyFill="1" applyBorder="1"/>
    <xf numFmtId="0" fontId="0" fillId="20" borderId="19" xfId="0" applyFill="1" applyBorder="1"/>
    <xf numFmtId="0" fontId="0" fillId="20" borderId="18" xfId="0" applyFill="1" applyBorder="1" applyAlignment="1">
      <alignment wrapText="1"/>
    </xf>
    <xf numFmtId="0" fontId="0" fillId="20" borderId="8" xfId="0" applyFill="1" applyBorder="1" applyAlignment="1">
      <alignment wrapText="1"/>
    </xf>
    <xf numFmtId="0" fontId="0" fillId="20" borderId="9" xfId="0" applyFill="1" applyBorder="1" applyAlignment="1">
      <alignment wrapText="1"/>
    </xf>
    <xf numFmtId="0" fontId="0" fillId="20" borderId="19" xfId="0" applyFill="1" applyBorder="1" applyAlignment="1">
      <alignment wrapText="1"/>
    </xf>
    <xf numFmtId="0" fontId="0" fillId="0" borderId="40" xfId="0" applyBorder="1"/>
    <xf numFmtId="0" fontId="0" fillId="2" borderId="39" xfId="0" applyFill="1" applyBorder="1" applyAlignment="1">
      <alignment wrapText="1"/>
    </xf>
    <xf numFmtId="0" fontId="0" fillId="0" borderId="24" xfId="0" applyBorder="1"/>
    <xf numFmtId="0" fontId="0" fillId="2" borderId="30" xfId="0" applyFill="1" applyBorder="1" applyAlignment="1">
      <alignment wrapText="1"/>
    </xf>
    <xf numFmtId="0" fontId="0" fillId="2" borderId="23" xfId="0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16" xfId="0" applyBorder="1"/>
    <xf numFmtId="0" fontId="0" fillId="0" borderId="13" xfId="0" applyBorder="1" applyAlignment="1">
      <alignment wrapText="1"/>
    </xf>
    <xf numFmtId="0" fontId="0" fillId="2" borderId="44" xfId="0" applyFill="1" applyBorder="1" applyAlignment="1">
      <alignment wrapText="1"/>
    </xf>
    <xf numFmtId="0" fontId="0" fillId="0" borderId="7" xfId="0" applyBorder="1" applyAlignment="1">
      <alignment wrapText="1"/>
    </xf>
    <xf numFmtId="0" fontId="1" fillId="2" borderId="33" xfId="0" applyFont="1" applyFill="1" applyBorder="1" applyAlignment="1">
      <alignment horizontal="left" vertical="center"/>
    </xf>
    <xf numFmtId="164" fontId="0" fillId="2" borderId="4" xfId="0" applyNumberFormat="1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6" fontId="0" fillId="2" borderId="28" xfId="0" applyNumberFormat="1" applyFill="1" applyBorder="1"/>
    <xf numFmtId="166" fontId="0" fillId="2" borderId="5" xfId="0" applyNumberFormat="1" applyFill="1" applyBorder="1"/>
    <xf numFmtId="166" fontId="0" fillId="2" borderId="29" xfId="0" applyNumberFormat="1" applyFill="1" applyBorder="1"/>
    <xf numFmtId="165" fontId="0" fillId="2" borderId="4" xfId="0" applyNumberFormat="1" applyFill="1" applyBorder="1"/>
    <xf numFmtId="165" fontId="0" fillId="2" borderId="5" xfId="0" applyNumberFormat="1" applyFill="1" applyBorder="1"/>
    <xf numFmtId="167" fontId="0" fillId="2" borderId="5" xfId="0" applyNumberFormat="1" applyFill="1" applyBorder="1"/>
    <xf numFmtId="170" fontId="0" fillId="2" borderId="5" xfId="0" applyNumberFormat="1" applyFill="1" applyBorder="1"/>
    <xf numFmtId="171" fontId="0" fillId="2" borderId="5" xfId="0" applyNumberFormat="1" applyFill="1" applyBorder="1"/>
    <xf numFmtId="0" fontId="0" fillId="2" borderId="5" xfId="0" applyFill="1" applyBorder="1"/>
    <xf numFmtId="174" fontId="0" fillId="2" borderId="5" xfId="0" applyNumberFormat="1" applyFill="1" applyBorder="1"/>
    <xf numFmtId="167" fontId="0" fillId="2" borderId="4" xfId="0" applyNumberFormat="1" applyFill="1" applyBorder="1"/>
    <xf numFmtId="165" fontId="0" fillId="2" borderId="29" xfId="0" applyNumberFormat="1" applyFill="1" applyBorder="1"/>
    <xf numFmtId="169" fontId="0" fillId="2" borderId="28" xfId="0" applyNumberFormat="1" applyFill="1" applyBorder="1"/>
    <xf numFmtId="0" fontId="0" fillId="0" borderId="48" xfId="0" applyBorder="1" applyAlignment="1">
      <alignment horizontal="left" vertical="center" wrapText="1"/>
    </xf>
    <xf numFmtId="165" fontId="0" fillId="0" borderId="52" xfId="0" applyNumberFormat="1" applyBorder="1"/>
    <xf numFmtId="0" fontId="0" fillId="2" borderId="36" xfId="0" applyFill="1" applyBorder="1" applyAlignment="1">
      <alignment wrapText="1"/>
    </xf>
    <xf numFmtId="0" fontId="0" fillId="2" borderId="21" xfId="0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21" xfId="0" applyBorder="1"/>
    <xf numFmtId="164" fontId="0" fillId="2" borderId="7" xfId="0" applyNumberFormat="1" applyFill="1" applyBorder="1" applyAlignment="1">
      <alignment horizontal="right"/>
    </xf>
    <xf numFmtId="164" fontId="0" fillId="2" borderId="23" xfId="0" applyNumberFormat="1" applyFill="1" applyBorder="1" applyAlignment="1">
      <alignment horizontal="right"/>
    </xf>
    <xf numFmtId="164" fontId="0" fillId="2" borderId="24" xfId="0" applyNumberFormat="1" applyFill="1" applyBorder="1" applyAlignment="1">
      <alignment horizontal="right"/>
    </xf>
    <xf numFmtId="166" fontId="0" fillId="2" borderId="21" xfId="0" applyNumberFormat="1" applyFill="1" applyBorder="1" applyAlignment="1">
      <alignment horizontal="right"/>
    </xf>
    <xf numFmtId="174" fontId="0" fillId="2" borderId="7" xfId="0" applyNumberFormat="1" applyFill="1" applyBorder="1" applyAlignment="1">
      <alignment horizontal="right"/>
    </xf>
    <xf numFmtId="166" fontId="0" fillId="2" borderId="7" xfId="0" applyNumberFormat="1" applyFill="1" applyBorder="1" applyAlignment="1">
      <alignment horizontal="right"/>
    </xf>
    <xf numFmtId="166" fontId="0" fillId="2" borderId="20" xfId="0" applyNumberFormat="1" applyFill="1" applyBorder="1" applyAlignment="1">
      <alignment horizontal="right"/>
    </xf>
    <xf numFmtId="165" fontId="0" fillId="2" borderId="23" xfId="0" applyNumberFormat="1" applyFill="1" applyBorder="1" applyAlignment="1">
      <alignment horizontal="right"/>
    </xf>
    <xf numFmtId="165" fontId="0" fillId="2" borderId="7" xfId="0" applyNumberFormat="1" applyFill="1" applyBorder="1" applyAlignment="1">
      <alignment horizontal="right"/>
    </xf>
    <xf numFmtId="165" fontId="0" fillId="2" borderId="20" xfId="0" applyNumberFormat="1" applyFill="1" applyBorder="1" applyAlignment="1">
      <alignment horizontal="right"/>
    </xf>
    <xf numFmtId="167" fontId="0" fillId="2" borderId="11" xfId="0" applyNumberFormat="1" applyFill="1" applyBorder="1" applyAlignment="1">
      <alignment horizontal="right"/>
    </xf>
    <xf numFmtId="167" fontId="0" fillId="2" borderId="12" xfId="0" applyNumberFormat="1" applyFill="1" applyBorder="1" applyAlignment="1">
      <alignment horizontal="right"/>
    </xf>
    <xf numFmtId="169" fontId="0" fillId="2" borderId="27" xfId="0" applyNumberFormat="1" applyFill="1" applyBorder="1" applyAlignment="1">
      <alignment horizontal="right"/>
    </xf>
    <xf numFmtId="170" fontId="0" fillId="2" borderId="27" xfId="0" applyNumberFormat="1" applyFill="1" applyBorder="1" applyAlignment="1">
      <alignment horizontal="right"/>
    </xf>
    <xf numFmtId="170" fontId="0" fillId="2" borderId="25" xfId="0" applyNumberFormat="1" applyFill="1" applyBorder="1" applyAlignment="1">
      <alignment horizontal="right"/>
    </xf>
    <xf numFmtId="171" fontId="0" fillId="2" borderId="25" xfId="0" applyNumberFormat="1" applyFill="1" applyBorder="1" applyAlignment="1">
      <alignment horizontal="right"/>
    </xf>
    <xf numFmtId="171" fontId="0" fillId="2" borderId="40" xfId="0" applyNumberFormat="1" applyFill="1" applyBorder="1" applyAlignment="1">
      <alignment horizontal="right" wrapText="1"/>
    </xf>
    <xf numFmtId="0" fontId="0" fillId="2" borderId="27" xfId="0" applyFill="1" applyBorder="1" applyAlignment="1">
      <alignment horizontal="right" wrapText="1"/>
    </xf>
    <xf numFmtId="0" fontId="0" fillId="2" borderId="25" xfId="0" applyFill="1" applyBorder="1" applyAlignment="1">
      <alignment horizontal="right"/>
    </xf>
    <xf numFmtId="167" fontId="0" fillId="2" borderId="23" xfId="0" applyNumberFormat="1" applyFill="1" applyBorder="1" applyAlignment="1">
      <alignment horizontal="right"/>
    </xf>
    <xf numFmtId="167" fontId="0" fillId="2" borderId="7" xfId="0" applyNumberFormat="1" applyFill="1" applyBorder="1" applyAlignment="1">
      <alignment horizontal="right"/>
    </xf>
    <xf numFmtId="169" fontId="0" fillId="2" borderId="21" xfId="0" applyNumberFormat="1" applyFill="1" applyBorder="1" applyAlignment="1">
      <alignment horizontal="right"/>
    </xf>
    <xf numFmtId="170" fontId="0" fillId="2" borderId="21" xfId="0" applyNumberFormat="1" applyFill="1" applyBorder="1" applyAlignment="1">
      <alignment horizontal="right"/>
    </xf>
    <xf numFmtId="170" fontId="0" fillId="2" borderId="7" xfId="0" applyNumberFormat="1" applyFill="1" applyBorder="1" applyAlignment="1">
      <alignment horizontal="right"/>
    </xf>
    <xf numFmtId="171" fontId="0" fillId="2" borderId="7" xfId="0" applyNumberFormat="1" applyFill="1" applyBorder="1" applyAlignment="1">
      <alignment horizontal="right"/>
    </xf>
    <xf numFmtId="171" fontId="0" fillId="2" borderId="24" xfId="0" applyNumberForma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164" fontId="0" fillId="2" borderId="30" xfId="0" applyNumberFormat="1" applyFill="1" applyBorder="1" applyAlignment="1">
      <alignment horizontal="right"/>
    </xf>
    <xf numFmtId="164" fontId="0" fillId="2" borderId="52" xfId="0" applyNumberFormat="1" applyFill="1" applyBorder="1" applyAlignment="1">
      <alignment horizontal="right"/>
    </xf>
    <xf numFmtId="165" fontId="0" fillId="2" borderId="30" xfId="0" applyNumberFormat="1" applyFill="1" applyBorder="1" applyAlignment="1">
      <alignment horizontal="right"/>
    </xf>
    <xf numFmtId="165" fontId="0" fillId="2" borderId="36" xfId="0" applyNumberFormat="1" applyFill="1" applyBorder="1" applyAlignment="1">
      <alignment horizontal="right"/>
    </xf>
    <xf numFmtId="164" fontId="0" fillId="2" borderId="21" xfId="0" applyNumberFormat="1" applyFill="1" applyBorder="1" applyAlignment="1">
      <alignment horizontal="right"/>
    </xf>
    <xf numFmtId="167" fontId="0" fillId="2" borderId="21" xfId="0" applyNumberFormat="1" applyFill="1" applyBorder="1" applyAlignment="1">
      <alignment horizontal="right"/>
    </xf>
    <xf numFmtId="0" fontId="0" fillId="2" borderId="26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0" borderId="38" xfId="0" applyNumberFormat="1" applyBorder="1"/>
    <xf numFmtId="1" fontId="0" fillId="0" borderId="41" xfId="0" applyNumberFormat="1" applyBorder="1"/>
    <xf numFmtId="1" fontId="0" fillId="23" borderId="4" xfId="0" applyNumberFormat="1" applyFill="1" applyBorder="1"/>
    <xf numFmtId="170" fontId="0" fillId="0" borderId="6" xfId="0" applyNumberFormat="1" applyBorder="1" applyAlignment="1">
      <alignment vertical="center" wrapText="1"/>
    </xf>
    <xf numFmtId="1" fontId="0" fillId="23" borderId="35" xfId="0" applyNumberFormat="1" applyFill="1" applyBorder="1"/>
    <xf numFmtId="164" fontId="0" fillId="0" borderId="53" xfId="0" applyNumberFormat="1" applyBorder="1" applyAlignment="1">
      <alignment horizontal="left" vertical="center" wrapText="1"/>
    </xf>
    <xf numFmtId="164" fontId="0" fillId="0" borderId="48" xfId="0" applyNumberFormat="1" applyBorder="1" applyAlignment="1">
      <alignment horizontal="left" vertical="center" wrapText="1"/>
    </xf>
    <xf numFmtId="164" fontId="0" fillId="0" borderId="54" xfId="0" applyNumberFormat="1" applyBorder="1" applyAlignment="1">
      <alignment horizontal="left" vertical="center" wrapText="1"/>
    </xf>
    <xf numFmtId="0" fontId="0" fillId="0" borderId="48" xfId="0" applyBorder="1" applyAlignment="1">
      <alignment vertical="center" wrapText="1"/>
    </xf>
    <xf numFmtId="0" fontId="1" fillId="2" borderId="34" xfId="0" applyFont="1" applyFill="1" applyBorder="1"/>
    <xf numFmtId="171" fontId="0" fillId="0" borderId="50" xfId="0" applyNumberFormat="1" applyBorder="1" applyAlignment="1">
      <alignment horizontal="left" vertical="center" wrapText="1"/>
    </xf>
    <xf numFmtId="0" fontId="1" fillId="2" borderId="28" xfId="0" applyFont="1" applyFill="1" applyBorder="1"/>
    <xf numFmtId="168" fontId="0" fillId="0" borderId="5" xfId="0" applyNumberFormat="1" applyBorder="1" applyAlignment="1">
      <alignment horizontal="left" vertical="center" wrapText="1"/>
    </xf>
    <xf numFmtId="164" fontId="0" fillId="0" borderId="6" xfId="0" applyNumberFormat="1" applyBorder="1"/>
    <xf numFmtId="1" fontId="0" fillId="0" borderId="20" xfId="0" applyNumberFormat="1" applyBorder="1"/>
    <xf numFmtId="1" fontId="0" fillId="0" borderId="42" xfId="0" applyNumberFormat="1" applyBorder="1"/>
    <xf numFmtId="0" fontId="0" fillId="0" borderId="23" xfId="0" applyBorder="1"/>
    <xf numFmtId="164" fontId="0" fillId="0" borderId="55" xfId="0" applyNumberFormat="1" applyBorder="1"/>
    <xf numFmtId="0" fontId="0" fillId="0" borderId="14" xfId="0" applyBorder="1"/>
    <xf numFmtId="49" fontId="0" fillId="20" borderId="10" xfId="0" applyNumberFormat="1" applyFill="1" applyBorder="1" applyAlignment="1">
      <alignment horizontal="center" wrapText="1"/>
    </xf>
    <xf numFmtId="49" fontId="0" fillId="2" borderId="43" xfId="0" applyNumberFormat="1" applyFill="1" applyBorder="1" applyAlignment="1">
      <alignment wrapText="1"/>
    </xf>
    <xf numFmtId="49" fontId="0" fillId="2" borderId="22" xfId="0" applyNumberFormat="1" applyFill="1" applyBorder="1" applyAlignment="1">
      <alignment wrapText="1"/>
    </xf>
    <xf numFmtId="49" fontId="0" fillId="0" borderId="22" xfId="0" applyNumberFormat="1" applyBorder="1" applyAlignment="1">
      <alignment wrapText="1"/>
    </xf>
    <xf numFmtId="49" fontId="0" fillId="0" borderId="17" xfId="0" applyNumberFormat="1" applyBorder="1" applyAlignment="1">
      <alignment wrapText="1"/>
    </xf>
    <xf numFmtId="49" fontId="0" fillId="0" borderId="22" xfId="0" applyNumberFormat="1" applyBorder="1"/>
    <xf numFmtId="49" fontId="0" fillId="0" borderId="47" xfId="0" applyNumberFormat="1" applyBorder="1" applyAlignment="1">
      <alignment wrapText="1"/>
    </xf>
    <xf numFmtId="0" fontId="0" fillId="0" borderId="25" xfId="0" applyBorder="1" applyAlignment="1">
      <alignment vertical="center" wrapText="1"/>
    </xf>
    <xf numFmtId="0" fontId="0" fillId="2" borderId="25" xfId="0" applyFill="1" applyBorder="1"/>
    <xf numFmtId="173" fontId="0" fillId="0" borderId="25" xfId="0" applyNumberFormat="1" applyBorder="1" applyAlignment="1">
      <alignment vertical="center" wrapText="1"/>
    </xf>
    <xf numFmtId="0" fontId="4" fillId="20" borderId="4" xfId="0" applyFont="1" applyFill="1" applyBorder="1" applyAlignment="1">
      <alignment vertical="center" wrapText="1"/>
    </xf>
    <xf numFmtId="49" fontId="0" fillId="0" borderId="22" xfId="0" applyNumberFormat="1" applyBorder="1" applyAlignment="1">
      <alignment horizontal="left" wrapText="1"/>
    </xf>
    <xf numFmtId="164" fontId="0" fillId="0" borderId="23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164" fontId="0" fillId="0" borderId="24" xfId="0" applyNumberFormat="1" applyBorder="1" applyAlignment="1">
      <alignment wrapText="1"/>
    </xf>
    <xf numFmtId="166" fontId="0" fillId="0" borderId="23" xfId="0" applyNumberFormat="1" applyBorder="1" applyAlignment="1">
      <alignment wrapText="1"/>
    </xf>
    <xf numFmtId="166" fontId="0" fillId="0" borderId="7" xfId="0" applyNumberFormat="1" applyBorder="1" applyAlignment="1">
      <alignment wrapText="1"/>
    </xf>
    <xf numFmtId="166" fontId="0" fillId="0" borderId="24" xfId="0" applyNumberFormat="1" applyBorder="1" applyAlignment="1">
      <alignment wrapText="1"/>
    </xf>
    <xf numFmtId="165" fontId="0" fillId="0" borderId="23" xfId="0" applyNumberFormat="1" applyBorder="1" applyAlignment="1">
      <alignment wrapText="1"/>
    </xf>
    <xf numFmtId="165" fontId="0" fillId="0" borderId="7" xfId="0" applyNumberFormat="1" applyBorder="1" applyAlignment="1">
      <alignment wrapText="1"/>
    </xf>
    <xf numFmtId="165" fontId="0" fillId="0" borderId="24" xfId="0" applyNumberFormat="1" applyBorder="1" applyAlignment="1">
      <alignment wrapText="1"/>
    </xf>
    <xf numFmtId="167" fontId="0" fillId="0" borderId="23" xfId="0" applyNumberFormat="1" applyBorder="1" applyAlignment="1">
      <alignment wrapText="1"/>
    </xf>
    <xf numFmtId="167" fontId="0" fillId="0" borderId="21" xfId="0" applyNumberFormat="1" applyBorder="1" applyAlignment="1">
      <alignment wrapText="1"/>
    </xf>
    <xf numFmtId="167" fontId="0" fillId="0" borderId="7" xfId="0" applyNumberFormat="1" applyBorder="1" applyAlignment="1">
      <alignment wrapText="1"/>
    </xf>
    <xf numFmtId="0" fontId="0" fillId="0" borderId="24" xfId="0" applyBorder="1" applyAlignment="1">
      <alignment wrapText="1"/>
    </xf>
    <xf numFmtId="169" fontId="0" fillId="0" borderId="7" xfId="0" applyNumberFormat="1" applyBorder="1" applyAlignment="1">
      <alignment wrapText="1"/>
    </xf>
    <xf numFmtId="170" fontId="0" fillId="0" borderId="7" xfId="0" applyNumberFormat="1" applyBorder="1" applyAlignment="1">
      <alignment wrapText="1"/>
    </xf>
    <xf numFmtId="171" fontId="0" fillId="0" borderId="7" xfId="0" applyNumberFormat="1" applyBorder="1" applyAlignment="1">
      <alignment wrapText="1"/>
    </xf>
    <xf numFmtId="171" fontId="0" fillId="0" borderId="24" xfId="0" applyNumberFormat="1" applyBorder="1" applyAlignment="1">
      <alignment wrapText="1"/>
    </xf>
    <xf numFmtId="20" fontId="0" fillId="0" borderId="7" xfId="0" applyNumberFormat="1" applyBorder="1" applyAlignment="1">
      <alignment vertical="center" wrapText="1"/>
    </xf>
    <xf numFmtId="165" fontId="0" fillId="0" borderId="5" xfId="0" applyNumberFormat="1" applyBorder="1" applyAlignment="1">
      <alignment horizontal="left" vertical="center" wrapText="1"/>
    </xf>
    <xf numFmtId="167" fontId="0" fillId="0" borderId="6" xfId="0" applyNumberFormat="1" applyBorder="1" applyAlignment="1">
      <alignment vertical="center" wrapText="1"/>
    </xf>
    <xf numFmtId="164" fontId="0" fillId="0" borderId="5" xfId="0" applyNumberFormat="1" applyBorder="1" applyAlignment="1">
      <alignment horizontal="left" vertical="center" wrapText="1"/>
    </xf>
    <xf numFmtId="165" fontId="0" fillId="0" borderId="5" xfId="0" applyNumberForma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167" fontId="0" fillId="0" borderId="11" xfId="0" applyNumberFormat="1" applyBorder="1"/>
    <xf numFmtId="167" fontId="0" fillId="0" borderId="12" xfId="0" applyNumberFormat="1" applyBorder="1"/>
    <xf numFmtId="0" fontId="0" fillId="0" borderId="15" xfId="0" applyBorder="1"/>
    <xf numFmtId="0" fontId="0" fillId="22" borderId="20" xfId="0" applyFill="1" applyBorder="1" applyAlignment="1">
      <alignment horizontal="center" wrapText="1"/>
    </xf>
    <xf numFmtId="0" fontId="0" fillId="17" borderId="20" xfId="0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64" fontId="0" fillId="0" borderId="56" xfId="0" applyNumberFormat="1" applyBorder="1"/>
    <xf numFmtId="164" fontId="0" fillId="0" borderId="37" xfId="0" applyNumberFormat="1" applyBorder="1"/>
    <xf numFmtId="164" fontId="0" fillId="0" borderId="42" xfId="0" applyNumberFormat="1" applyBorder="1"/>
    <xf numFmtId="164" fontId="0" fillId="0" borderId="57" xfId="0" applyNumberFormat="1" applyBorder="1"/>
    <xf numFmtId="166" fontId="0" fillId="0" borderId="56" xfId="0" applyNumberFormat="1" applyBorder="1"/>
    <xf numFmtId="166" fontId="0" fillId="0" borderId="37" xfId="0" applyNumberFormat="1" applyBorder="1"/>
    <xf numFmtId="166" fontId="0" fillId="0" borderId="57" xfId="0" applyNumberFormat="1" applyBorder="1"/>
    <xf numFmtId="165" fontId="0" fillId="0" borderId="56" xfId="0" applyNumberFormat="1" applyBorder="1"/>
    <xf numFmtId="165" fontId="0" fillId="0" borderId="37" xfId="0" applyNumberFormat="1" applyBorder="1"/>
    <xf numFmtId="165" fontId="0" fillId="0" borderId="57" xfId="0" applyNumberFormat="1" applyBorder="1"/>
    <xf numFmtId="167" fontId="0" fillId="0" borderId="56" xfId="0" applyNumberFormat="1" applyBorder="1"/>
    <xf numFmtId="167" fontId="0" fillId="0" borderId="41" xfId="0" applyNumberFormat="1" applyBorder="1"/>
    <xf numFmtId="167" fontId="0" fillId="0" borderId="37" xfId="0" applyNumberFormat="1" applyBorder="1"/>
    <xf numFmtId="0" fontId="0" fillId="0" borderId="57" xfId="0" applyBorder="1"/>
    <xf numFmtId="0" fontId="0" fillId="0" borderId="56" xfId="0" applyBorder="1" applyAlignment="1">
      <alignment wrapText="1"/>
    </xf>
    <xf numFmtId="169" fontId="0" fillId="0" borderId="37" xfId="0" applyNumberFormat="1" applyBorder="1"/>
    <xf numFmtId="170" fontId="0" fillId="0" borderId="37" xfId="0" applyNumberFormat="1" applyBorder="1"/>
    <xf numFmtId="171" fontId="0" fillId="0" borderId="37" xfId="0" applyNumberFormat="1" applyBorder="1"/>
    <xf numFmtId="171" fontId="0" fillId="0" borderId="57" xfId="0" applyNumberFormat="1" applyBorder="1"/>
    <xf numFmtId="49" fontId="0" fillId="0" borderId="58" xfId="0" applyNumberFormat="1" applyBorder="1" applyAlignment="1">
      <alignment wrapText="1"/>
    </xf>
    <xf numFmtId="0" fontId="0" fillId="0" borderId="37" xfId="0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60" xfId="0" applyNumberFormat="1" applyBorder="1"/>
    <xf numFmtId="164" fontId="0" fillId="0" borderId="15" xfId="0" applyNumberFormat="1" applyBorder="1"/>
    <xf numFmtId="166" fontId="0" fillId="0" borderId="11" xfId="0" applyNumberFormat="1" applyBorder="1"/>
    <xf numFmtId="166" fontId="0" fillId="0" borderId="12" xfId="0" applyNumberFormat="1" applyBorder="1"/>
    <xf numFmtId="166" fontId="0" fillId="0" borderId="15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165" fontId="0" fillId="0" borderId="15" xfId="0" applyNumberFormat="1" applyBorder="1"/>
    <xf numFmtId="167" fontId="0" fillId="0" borderId="61" xfId="0" applyNumberFormat="1" applyBorder="1"/>
    <xf numFmtId="0" fontId="0" fillId="2" borderId="59" xfId="0" applyFill="1" applyBorder="1" applyAlignment="1">
      <alignment wrapText="1"/>
    </xf>
    <xf numFmtId="169" fontId="0" fillId="2" borderId="12" xfId="0" applyNumberFormat="1" applyFill="1" applyBorder="1"/>
    <xf numFmtId="170" fontId="0" fillId="2" borderId="12" xfId="0" applyNumberFormat="1" applyFill="1" applyBorder="1"/>
    <xf numFmtId="171" fontId="0" fillId="2" borderId="12" xfId="0" applyNumberFormat="1" applyFill="1" applyBorder="1"/>
    <xf numFmtId="171" fontId="0" fillId="2" borderId="15" xfId="0" applyNumberFormat="1" applyFill="1" applyBorder="1"/>
    <xf numFmtId="49" fontId="0" fillId="2" borderId="62" xfId="0" applyNumberFormat="1" applyFill="1" applyBorder="1" applyAlignment="1">
      <alignment wrapText="1"/>
    </xf>
    <xf numFmtId="0" fontId="0" fillId="0" borderId="12" xfId="0" applyBorder="1"/>
    <xf numFmtId="0" fontId="0" fillId="0" borderId="4" xfId="0" applyBorder="1" applyAlignment="1">
      <alignment horizontal="left" vertical="center" wrapText="1"/>
    </xf>
    <xf numFmtId="49" fontId="0" fillId="2" borderId="7" xfId="0" applyNumberFormat="1" applyFill="1" applyBorder="1" applyAlignment="1">
      <alignment wrapText="1"/>
    </xf>
    <xf numFmtId="169" fontId="0" fillId="0" borderId="28" xfId="0" applyNumberFormat="1" applyBorder="1" applyAlignment="1">
      <alignment vertical="center" wrapText="1"/>
    </xf>
    <xf numFmtId="167" fontId="0" fillId="0" borderId="4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73" fontId="0" fillId="0" borderId="7" xfId="0" applyNumberFormat="1" applyBorder="1" applyAlignment="1">
      <alignment vertical="center"/>
    </xf>
    <xf numFmtId="168" fontId="0" fillId="0" borderId="7" xfId="0" applyNumberFormat="1" applyBorder="1" applyAlignment="1">
      <alignment vertical="center"/>
    </xf>
    <xf numFmtId="0" fontId="0" fillId="2" borderId="37" xfId="0" applyFill="1" applyBorder="1" applyAlignment="1">
      <alignment vertical="center" wrapText="1"/>
    </xf>
    <xf numFmtId="0" fontId="0" fillId="2" borderId="37" xfId="0" applyFill="1" applyBorder="1" applyAlignment="1">
      <alignment vertical="center"/>
    </xf>
    <xf numFmtId="164" fontId="0" fillId="0" borderId="54" xfId="0" applyNumberFormat="1" applyBorder="1"/>
    <xf numFmtId="0" fontId="0" fillId="2" borderId="63" xfId="0" applyFill="1" applyBorder="1" applyAlignment="1">
      <alignment wrapText="1"/>
    </xf>
    <xf numFmtId="164" fontId="0" fillId="0" borderId="61" xfId="0" applyNumberFormat="1" applyBorder="1"/>
    <xf numFmtId="166" fontId="0" fillId="0" borderId="61" xfId="0" applyNumberFormat="1" applyBorder="1"/>
    <xf numFmtId="0" fontId="0" fillId="0" borderId="2" xfId="0" applyBorder="1"/>
    <xf numFmtId="0" fontId="0" fillId="0" borderId="64" xfId="0" applyBorder="1"/>
    <xf numFmtId="49" fontId="1" fillId="9" borderId="10" xfId="0" applyNumberFormat="1" applyFont="1" applyFill="1" applyBorder="1" applyAlignment="1">
      <alignment horizontal="center" vertical="center" wrapText="1"/>
    </xf>
    <xf numFmtId="172" fontId="1" fillId="27" borderId="51" xfId="0" applyNumberFormat="1" applyFont="1" applyFill="1" applyBorder="1" applyAlignment="1">
      <alignment horizontal="center" vertical="center" wrapText="1"/>
    </xf>
    <xf numFmtId="172" fontId="2" fillId="17" borderId="36" xfId="0" applyNumberFormat="1" applyFont="1" applyFill="1" applyBorder="1" applyAlignment="1">
      <alignment horizontal="center"/>
    </xf>
    <xf numFmtId="172" fontId="2" fillId="16" borderId="36" xfId="0" applyNumberFormat="1" applyFont="1" applyFill="1" applyBorder="1" applyAlignment="1">
      <alignment horizontal="center"/>
    </xf>
    <xf numFmtId="172" fontId="0" fillId="14" borderId="36" xfId="0" applyNumberFormat="1" applyFill="1" applyBorder="1" applyAlignment="1">
      <alignment horizontal="center" vertical="center" wrapText="1"/>
    </xf>
    <xf numFmtId="172" fontId="0" fillId="10" borderId="36" xfId="0" applyNumberFormat="1" applyFill="1" applyBorder="1" applyAlignment="1">
      <alignment horizontal="center" vertical="center" wrapText="1"/>
    </xf>
    <xf numFmtId="14" fontId="0" fillId="0" borderId="38" xfId="0" applyNumberFormat="1" applyBorder="1" applyAlignment="1">
      <alignment vertical="center" wrapText="1"/>
    </xf>
    <xf numFmtId="20" fontId="0" fillId="0" borderId="38" xfId="0" applyNumberFormat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172" fontId="0" fillId="0" borderId="25" xfId="0" applyNumberFormat="1" applyBorder="1" applyAlignment="1">
      <alignment vertical="center" wrapText="1"/>
    </xf>
    <xf numFmtId="172" fontId="0" fillId="0" borderId="38" xfId="0" applyNumberFormat="1" applyBorder="1" applyAlignment="1">
      <alignment vertical="center" wrapText="1"/>
    </xf>
    <xf numFmtId="167" fontId="0" fillId="0" borderId="38" xfId="0" applyNumberFormat="1" applyBorder="1" applyAlignment="1">
      <alignment vertical="center" wrapText="1"/>
    </xf>
    <xf numFmtId="169" fontId="0" fillId="0" borderId="38" xfId="0" applyNumberFormat="1" applyBorder="1" applyAlignment="1">
      <alignment vertical="center" wrapText="1"/>
    </xf>
    <xf numFmtId="170" fontId="0" fillId="0" borderId="38" xfId="0" applyNumberFormat="1" applyBorder="1" applyAlignment="1">
      <alignment vertical="center" wrapText="1"/>
    </xf>
    <xf numFmtId="171" fontId="0" fillId="0" borderId="38" xfId="0" applyNumberFormat="1" applyBorder="1" applyAlignment="1">
      <alignment vertical="center" wrapText="1"/>
    </xf>
    <xf numFmtId="173" fontId="0" fillId="0" borderId="38" xfId="0" applyNumberFormat="1" applyBorder="1" applyAlignment="1">
      <alignment vertical="center" wrapText="1"/>
    </xf>
    <xf numFmtId="168" fontId="0" fillId="0" borderId="38" xfId="0" applyNumberFormat="1" applyBorder="1" applyAlignment="1">
      <alignment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0" borderId="41" xfId="0" applyBorder="1"/>
    <xf numFmtId="0" fontId="0" fillId="20" borderId="5" xfId="0" applyFill="1" applyBorder="1"/>
    <xf numFmtId="0" fontId="2" fillId="2" borderId="7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2" fillId="12" borderId="2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1" fillId="7" borderId="33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0" fontId="1" fillId="7" borderId="35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29" borderId="10" xfId="0" applyFont="1" applyFill="1" applyBorder="1" applyAlignment="1">
      <alignment horizontal="center" vertical="center" wrapText="1"/>
    </xf>
    <xf numFmtId="0" fontId="1" fillId="29" borderId="5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2" fillId="17" borderId="20" xfId="0" applyFont="1" applyFill="1" applyBorder="1" applyAlignment="1">
      <alignment horizontal="center" wrapText="1"/>
    </xf>
    <xf numFmtId="0" fontId="2" fillId="17" borderId="36" xfId="0" applyFont="1" applyFill="1" applyBorder="1" applyAlignment="1">
      <alignment horizontal="center" wrapText="1"/>
    </xf>
    <xf numFmtId="0" fontId="2" fillId="17" borderId="21" xfId="0" applyFont="1" applyFill="1" applyBorder="1" applyAlignment="1">
      <alignment horizontal="center" wrapText="1"/>
    </xf>
    <xf numFmtId="0" fontId="2" fillId="14" borderId="20" xfId="0" applyFont="1" applyFill="1" applyBorder="1" applyAlignment="1">
      <alignment horizontal="center"/>
    </xf>
    <xf numFmtId="0" fontId="2" fillId="14" borderId="36" xfId="0" applyFont="1" applyFill="1" applyBorder="1" applyAlignment="1">
      <alignment horizontal="center"/>
    </xf>
    <xf numFmtId="0" fontId="2" fillId="14" borderId="21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2" fillId="15" borderId="20" xfId="0" applyFont="1" applyFill="1" applyBorder="1" applyAlignment="1">
      <alignment horizontal="center"/>
    </xf>
    <xf numFmtId="0" fontId="2" fillId="15" borderId="21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/>
    </xf>
    <xf numFmtId="0" fontId="2" fillId="11" borderId="21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51" xfId="0" applyBorder="1" applyAlignment="1">
      <alignment vertical="center" wrapText="1"/>
    </xf>
    <xf numFmtId="0" fontId="1" fillId="27" borderId="33" xfId="0" applyFont="1" applyFill="1" applyBorder="1" applyAlignment="1">
      <alignment horizontal="center" vertical="center" wrapText="1"/>
    </xf>
    <xf numFmtId="0" fontId="1" fillId="27" borderId="34" xfId="0" applyFont="1" applyFill="1" applyBorder="1" applyAlignment="1">
      <alignment horizontal="center" vertical="center" wrapText="1"/>
    </xf>
    <xf numFmtId="0" fontId="1" fillId="27" borderId="35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2" fillId="12" borderId="20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2" fillId="17" borderId="20" xfId="0" applyFont="1" applyFill="1" applyBorder="1" applyAlignment="1">
      <alignment horizontal="center"/>
    </xf>
    <xf numFmtId="0" fontId="2" fillId="17" borderId="36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/>
    </xf>
    <xf numFmtId="0" fontId="1" fillId="26" borderId="31" xfId="0" applyFont="1" applyFill="1" applyBorder="1" applyAlignment="1">
      <alignment horizontal="center" vertical="center" wrapText="1"/>
    </xf>
    <xf numFmtId="0" fontId="0" fillId="26" borderId="2" xfId="0" applyFill="1" applyBorder="1" applyAlignment="1">
      <alignment vertical="center" wrapText="1"/>
    </xf>
    <xf numFmtId="0" fontId="0" fillId="26" borderId="3" xfId="0" applyFill="1" applyBorder="1" applyAlignment="1">
      <alignment vertical="center" wrapText="1"/>
    </xf>
    <xf numFmtId="0" fontId="1" fillId="28" borderId="31" xfId="0" applyFont="1" applyFill="1" applyBorder="1" applyAlignment="1">
      <alignment horizontal="center" vertical="center" wrapText="1"/>
    </xf>
    <xf numFmtId="0" fontId="0" fillId="28" borderId="2" xfId="0" applyFill="1" applyBorder="1" applyAlignment="1">
      <alignment vertical="center" wrapText="1"/>
    </xf>
    <xf numFmtId="0" fontId="2" fillId="21" borderId="20" xfId="0" applyFont="1" applyFill="1" applyBorder="1" applyAlignment="1">
      <alignment horizontal="center"/>
    </xf>
    <xf numFmtId="0" fontId="2" fillId="21" borderId="21" xfId="0" applyFont="1" applyFill="1" applyBorder="1" applyAlignment="1">
      <alignment horizontal="center"/>
    </xf>
    <xf numFmtId="0" fontId="2" fillId="16" borderId="20" xfId="0" applyFont="1" applyFill="1" applyBorder="1" applyAlignment="1">
      <alignment horizontal="center"/>
    </xf>
    <xf numFmtId="0" fontId="2" fillId="16" borderId="21" xfId="0" applyFont="1" applyFill="1" applyBorder="1" applyAlignment="1">
      <alignment horizontal="center"/>
    </xf>
    <xf numFmtId="0" fontId="0" fillId="11" borderId="20" xfId="0" applyFill="1" applyBorder="1" applyAlignment="1">
      <alignment horizontal="center" vertical="center" wrapText="1"/>
    </xf>
    <xf numFmtId="0" fontId="0" fillId="11" borderId="21" xfId="0" applyFill="1" applyBorder="1" applyAlignment="1">
      <alignment horizontal="center" vertical="center" wrapText="1"/>
    </xf>
    <xf numFmtId="0" fontId="0" fillId="12" borderId="20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10" borderId="20" xfId="0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 vertical="center" wrapText="1"/>
    </xf>
    <xf numFmtId="0" fontId="0" fillId="15" borderId="21" xfId="0" applyFill="1" applyBorder="1" applyAlignment="1">
      <alignment horizontal="center" vertical="center" wrapText="1"/>
    </xf>
    <xf numFmtId="0" fontId="0" fillId="19" borderId="20" xfId="0" applyFill="1" applyBorder="1" applyAlignment="1">
      <alignment horizontal="center" vertical="center" wrapText="1"/>
    </xf>
    <xf numFmtId="0" fontId="0" fillId="19" borderId="21" xfId="0" applyFill="1" applyBorder="1" applyAlignment="1">
      <alignment horizontal="center" vertical="center" wrapText="1"/>
    </xf>
    <xf numFmtId="0" fontId="0" fillId="30" borderId="20" xfId="0" applyFill="1" applyBorder="1" applyAlignment="1">
      <alignment horizontal="center" vertical="center" wrapText="1"/>
    </xf>
    <xf numFmtId="0" fontId="0" fillId="30" borderId="21" xfId="0" applyFill="1" applyBorder="1" applyAlignment="1">
      <alignment horizontal="center" vertical="center" wrapText="1"/>
    </xf>
    <xf numFmtId="0" fontId="0" fillId="31" borderId="20" xfId="0" applyFill="1" applyBorder="1" applyAlignment="1">
      <alignment horizontal="center" vertical="center" wrapText="1"/>
    </xf>
    <xf numFmtId="0" fontId="0" fillId="31" borderId="21" xfId="0" applyFill="1" applyBorder="1" applyAlignment="1">
      <alignment horizontal="center" vertical="center" wrapText="1"/>
    </xf>
    <xf numFmtId="0" fontId="0" fillId="14" borderId="20" xfId="0" applyFill="1" applyBorder="1" applyAlignment="1">
      <alignment horizontal="center" vertical="center" wrapText="1"/>
    </xf>
    <xf numFmtId="0" fontId="0" fillId="14" borderId="21" xfId="0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18" borderId="20" xfId="0" applyFill="1" applyBorder="1" applyAlignment="1">
      <alignment horizontal="center" vertical="center" wrapText="1"/>
    </xf>
    <xf numFmtId="0" fontId="0" fillId="18" borderId="21" xfId="0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165" fontId="1" fillId="8" borderId="33" xfId="0" applyNumberFormat="1" applyFont="1" applyFill="1" applyBorder="1" applyAlignment="1">
      <alignment horizontal="center"/>
    </xf>
    <xf numFmtId="165" fontId="1" fillId="8" borderId="34" xfId="0" applyNumberFormat="1" applyFont="1" applyFill="1" applyBorder="1" applyAlignment="1">
      <alignment horizontal="center"/>
    </xf>
    <xf numFmtId="165" fontId="1" fillId="8" borderId="35" xfId="0" applyNumberFormat="1" applyFont="1" applyFill="1" applyBorder="1" applyAlignment="1">
      <alignment horizontal="center"/>
    </xf>
    <xf numFmtId="164" fontId="1" fillId="5" borderId="33" xfId="0" applyNumberFormat="1" applyFont="1" applyFill="1" applyBorder="1" applyAlignment="1">
      <alignment horizontal="center"/>
    </xf>
    <xf numFmtId="164" fontId="1" fillId="5" borderId="34" xfId="0" applyNumberFormat="1" applyFont="1" applyFill="1" applyBorder="1" applyAlignment="1">
      <alignment horizontal="center"/>
    </xf>
    <xf numFmtId="164" fontId="1" fillId="5" borderId="35" xfId="0" applyNumberFormat="1" applyFont="1" applyFill="1" applyBorder="1" applyAlignment="1">
      <alignment horizontal="center"/>
    </xf>
    <xf numFmtId="164" fontId="1" fillId="4" borderId="33" xfId="0" applyNumberFormat="1" applyFont="1" applyFill="1" applyBorder="1" applyAlignment="1">
      <alignment horizontal="center" vertical="center"/>
    </xf>
    <xf numFmtId="164" fontId="1" fillId="4" borderId="34" xfId="0" applyNumberFormat="1" applyFont="1" applyFill="1" applyBorder="1" applyAlignment="1">
      <alignment horizontal="center" vertical="center"/>
    </xf>
    <xf numFmtId="164" fontId="1" fillId="4" borderId="35" xfId="0" applyNumberFormat="1" applyFont="1" applyFill="1" applyBorder="1" applyAlignment="1">
      <alignment horizontal="center" vertical="center"/>
    </xf>
    <xf numFmtId="166" fontId="1" fillId="7" borderId="33" xfId="0" applyNumberFormat="1" applyFont="1" applyFill="1" applyBorder="1" applyAlignment="1">
      <alignment horizontal="center"/>
    </xf>
    <xf numFmtId="166" fontId="1" fillId="7" borderId="34" xfId="0" applyNumberFormat="1" applyFont="1" applyFill="1" applyBorder="1" applyAlignment="1">
      <alignment horizontal="center"/>
    </xf>
    <xf numFmtId="166" fontId="1" fillId="7" borderId="35" xfId="0" applyNumberFormat="1" applyFont="1" applyFill="1" applyBorder="1" applyAlignment="1">
      <alignment horizontal="center"/>
    </xf>
    <xf numFmtId="165" fontId="1" fillId="25" borderId="2" xfId="0" applyNumberFormat="1" applyFont="1" applyFill="1" applyBorder="1" applyAlignment="1">
      <alignment horizontal="center"/>
    </xf>
    <xf numFmtId="165" fontId="1" fillId="25" borderId="3" xfId="0" applyNumberFormat="1" applyFont="1" applyFill="1" applyBorder="1" applyAlignment="1">
      <alignment horizontal="center"/>
    </xf>
    <xf numFmtId="167" fontId="1" fillId="32" borderId="33" xfId="0" applyNumberFormat="1" applyFont="1" applyFill="1" applyBorder="1" applyAlignment="1">
      <alignment horizontal="center"/>
    </xf>
    <xf numFmtId="167" fontId="1" fillId="32" borderId="34" xfId="0" applyNumberFormat="1" applyFont="1" applyFill="1" applyBorder="1" applyAlignment="1">
      <alignment horizontal="center"/>
    </xf>
    <xf numFmtId="167" fontId="1" fillId="32" borderId="35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164" fontId="1" fillId="13" borderId="33" xfId="0" applyNumberFormat="1" applyFont="1" applyFill="1" applyBorder="1" applyAlignment="1">
      <alignment horizontal="center"/>
    </xf>
    <xf numFmtId="164" fontId="1" fillId="13" borderId="34" xfId="0" applyNumberFormat="1" applyFont="1" applyFill="1" applyBorder="1" applyAlignment="1">
      <alignment horizontal="center"/>
    </xf>
    <xf numFmtId="164" fontId="1" fillId="13" borderId="35" xfId="0" applyNumberFormat="1" applyFont="1" applyFill="1" applyBorder="1" applyAlignment="1">
      <alignment horizontal="center"/>
    </xf>
    <xf numFmtId="164" fontId="1" fillId="11" borderId="33" xfId="0" applyNumberFormat="1" applyFont="1" applyFill="1" applyBorder="1" applyAlignment="1">
      <alignment horizontal="center" vertical="center"/>
    </xf>
    <xf numFmtId="164" fontId="1" fillId="11" borderId="34" xfId="0" applyNumberFormat="1" applyFont="1" applyFill="1" applyBorder="1" applyAlignment="1">
      <alignment horizontal="center" vertical="center"/>
    </xf>
    <xf numFmtId="164" fontId="1" fillId="11" borderId="35" xfId="0" applyNumberFormat="1" applyFont="1" applyFill="1" applyBorder="1" applyAlignment="1">
      <alignment horizontal="center" vertical="center"/>
    </xf>
    <xf numFmtId="167" fontId="1" fillId="24" borderId="33" xfId="0" applyNumberFormat="1" applyFont="1" applyFill="1" applyBorder="1" applyAlignment="1">
      <alignment horizontal="center"/>
    </xf>
    <xf numFmtId="167" fontId="1" fillId="24" borderId="34" xfId="0" applyNumberFormat="1" applyFont="1" applyFill="1" applyBorder="1" applyAlignment="1">
      <alignment horizontal="center"/>
    </xf>
    <xf numFmtId="167" fontId="1" fillId="24" borderId="35" xfId="0" applyNumberFormat="1" applyFont="1" applyFill="1" applyBorder="1" applyAlignment="1">
      <alignment horizontal="center"/>
    </xf>
  </cellXfs>
  <cellStyles count="1">
    <cellStyle name="Normálna" xfId="0" builtinId="0"/>
  </cellStyles>
  <dxfs count="204"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numFmt numFmtId="175" formatCode="&quot; &quot;"/>
    </dxf>
    <dxf>
      <numFmt numFmtId="175" formatCode="&quot; &quot;"/>
      <fill>
        <patternFill>
          <bgColor theme="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>
          <bgColor rgb="FFFF669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800000"/>
        </patternFill>
      </fill>
    </dxf>
    <dxf>
      <fill>
        <patternFill>
          <bgColor rgb="FFD60093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800000"/>
        </patternFill>
      </fill>
    </dxf>
    <dxf>
      <fill>
        <patternFill>
          <bgColor rgb="FFD60093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theme="1" tint="0.499984740745262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A50021"/>
      <color rgb="FFF4FD7F"/>
      <color rgb="FFFFFF66"/>
      <color rgb="FFFF0000"/>
      <color rgb="FFCCFF66"/>
      <color rgb="FFFF6699"/>
      <color rgb="FFCCFF33"/>
      <color rgb="FFCCFD66"/>
      <color rgb="FF80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4"/>
  <dimension ref="A1:AC367"/>
  <sheetViews>
    <sheetView tabSelected="1" zoomScale="85" zoomScaleNormal="85" workbookViewId="0">
      <pane xSplit="1" ySplit="2" topLeftCell="B338" activePane="bottomRight" state="frozen"/>
      <selection activeCell="K52" sqref="K52"/>
      <selection pane="topRight" activeCell="K52" sqref="K52"/>
      <selection pane="bottomLeft" activeCell="K52" sqref="K52"/>
      <selection pane="bottomRight" activeCell="L355" sqref="L355"/>
    </sheetView>
  </sheetViews>
  <sheetFormatPr defaultRowHeight="14.4" x14ac:dyDescent="0.3"/>
  <cols>
    <col min="1" max="1" width="10.88671875" customWidth="1"/>
    <col min="2" max="2" width="7.33203125" style="100" customWidth="1"/>
    <col min="3" max="8" width="7.33203125" customWidth="1"/>
    <col min="9" max="9" width="7.33203125" style="101" customWidth="1"/>
    <col min="10" max="11" width="7.33203125" customWidth="1"/>
    <col min="12" max="12" width="7.33203125" style="101" customWidth="1"/>
    <col min="13" max="13" width="7.33203125" style="100" customWidth="1"/>
    <col min="14" max="14" width="7.33203125" customWidth="1"/>
    <col min="15" max="15" width="7.33203125" style="101" customWidth="1"/>
    <col min="16" max="16" width="11.109375" style="100" customWidth="1"/>
    <col min="17" max="17" width="11.109375" customWidth="1"/>
    <col min="18" max="18" width="11.109375" style="101" customWidth="1"/>
    <col min="19" max="19" width="8.44140625" style="100" customWidth="1"/>
    <col min="20" max="21" width="8.44140625" customWidth="1"/>
    <col min="22" max="22" width="5.6640625" style="101" customWidth="1"/>
    <col min="23" max="23" width="7.109375" style="100" customWidth="1"/>
    <col min="24" max="24" width="11.44140625" customWidth="1"/>
    <col min="25" max="25" width="10" customWidth="1"/>
    <col min="26" max="26" width="8.44140625" customWidth="1"/>
    <col min="27" max="27" width="8.6640625" style="101" customWidth="1"/>
    <col min="28" max="28" width="28.44140625" style="288" customWidth="1"/>
  </cols>
  <sheetData>
    <row r="1" spans="1:28" s="15" customFormat="1" ht="16.5" customHeight="1" thickBot="1" x14ac:dyDescent="0.35">
      <c r="A1" s="182" t="s">
        <v>0</v>
      </c>
      <c r="B1" s="400" t="s">
        <v>2</v>
      </c>
      <c r="C1" s="401"/>
      <c r="D1" s="401"/>
      <c r="E1" s="401"/>
      <c r="F1" s="401"/>
      <c r="G1" s="401"/>
      <c r="H1" s="401"/>
      <c r="I1" s="402"/>
      <c r="J1" s="415" t="s">
        <v>5</v>
      </c>
      <c r="K1" s="416"/>
      <c r="L1" s="417"/>
      <c r="M1" s="409" t="s">
        <v>35</v>
      </c>
      <c r="N1" s="410"/>
      <c r="O1" s="411"/>
      <c r="P1" s="412" t="s">
        <v>7</v>
      </c>
      <c r="Q1" s="413"/>
      <c r="R1" s="414"/>
      <c r="S1" s="406" t="s">
        <v>10</v>
      </c>
      <c r="T1" s="407"/>
      <c r="U1" s="407"/>
      <c r="V1" s="408"/>
      <c r="W1" s="403" t="s">
        <v>14</v>
      </c>
      <c r="X1" s="404"/>
      <c r="Y1" s="404"/>
      <c r="Z1" s="404"/>
      <c r="AA1" s="405"/>
      <c r="AB1" s="377" t="s">
        <v>19</v>
      </c>
    </row>
    <row r="2" spans="1:28" s="15" customFormat="1" ht="28.8" x14ac:dyDescent="0.3">
      <c r="A2" s="94"/>
      <c r="B2" s="183" t="s">
        <v>95</v>
      </c>
      <c r="C2" s="184" t="s">
        <v>94</v>
      </c>
      <c r="D2" s="184" t="s">
        <v>93</v>
      </c>
      <c r="E2" s="184" t="s">
        <v>3</v>
      </c>
      <c r="F2" s="184" t="s">
        <v>4</v>
      </c>
      <c r="G2" s="184" t="s">
        <v>200</v>
      </c>
      <c r="H2" s="184" t="s">
        <v>6</v>
      </c>
      <c r="I2" s="185" t="s">
        <v>90</v>
      </c>
      <c r="J2" s="184" t="s">
        <v>20</v>
      </c>
      <c r="K2" s="184" t="s">
        <v>21</v>
      </c>
      <c r="L2" s="185" t="s">
        <v>86</v>
      </c>
      <c r="M2" s="183" t="s">
        <v>40</v>
      </c>
      <c r="N2" s="184" t="s">
        <v>39</v>
      </c>
      <c r="O2" s="185" t="s">
        <v>85</v>
      </c>
      <c r="P2" s="183" t="s">
        <v>8</v>
      </c>
      <c r="Q2" s="184" t="s">
        <v>9</v>
      </c>
      <c r="R2" s="185" t="s">
        <v>84</v>
      </c>
      <c r="S2" s="186" t="s">
        <v>11</v>
      </c>
      <c r="T2" s="187" t="s">
        <v>44</v>
      </c>
      <c r="U2" s="188" t="s">
        <v>41</v>
      </c>
      <c r="V2" s="189" t="s">
        <v>13</v>
      </c>
      <c r="W2" s="186" t="s">
        <v>15</v>
      </c>
      <c r="X2" s="188" t="s">
        <v>256</v>
      </c>
      <c r="Y2" s="188" t="s">
        <v>17</v>
      </c>
      <c r="Z2" s="188" t="s">
        <v>91</v>
      </c>
      <c r="AA2" s="189" t="s">
        <v>18</v>
      </c>
      <c r="AB2" s="282"/>
    </row>
    <row r="3" spans="1:28" s="34" customFormat="1" x14ac:dyDescent="0.3">
      <c r="A3" s="38">
        <v>44562</v>
      </c>
      <c r="B3" s="64">
        <v>0.8</v>
      </c>
      <c r="C3" s="30">
        <v>3.7</v>
      </c>
      <c r="D3" s="30">
        <v>2.8</v>
      </c>
      <c r="E3" s="30">
        <v>8.3000000000000007</v>
      </c>
      <c r="F3" s="30">
        <v>0.6</v>
      </c>
      <c r="G3" s="30">
        <f>E3-F3</f>
        <v>7.7000000000000011</v>
      </c>
      <c r="H3" s="30">
        <f>(B3+C3+2*D3)/4</f>
        <v>2.5249999999999999</v>
      </c>
      <c r="I3" s="72">
        <v>2.1116892373485414</v>
      </c>
      <c r="J3" s="30">
        <v>8.3000000000000007</v>
      </c>
      <c r="K3" s="30">
        <v>0.2</v>
      </c>
      <c r="L3" s="72">
        <v>1.7293656450463415</v>
      </c>
      <c r="M3" s="99">
        <v>99.9</v>
      </c>
      <c r="N3" s="31">
        <v>95.1</v>
      </c>
      <c r="O3" s="95">
        <v>97.281539558089804</v>
      </c>
      <c r="P3" s="104">
        <v>1024.51853671493</v>
      </c>
      <c r="Q3" s="32">
        <v>1017.21886316462</v>
      </c>
      <c r="R3" s="60">
        <v>1020.1313966646359</v>
      </c>
      <c r="S3" s="97">
        <v>2.0000000016000001</v>
      </c>
      <c r="T3" s="33">
        <v>1.1300000009039999</v>
      </c>
      <c r="U3" s="33">
        <v>0.32949465526845767</v>
      </c>
      <c r="V3" s="190" t="s">
        <v>213</v>
      </c>
      <c r="W3" s="191" t="s">
        <v>210</v>
      </c>
      <c r="X3" s="91">
        <v>6</v>
      </c>
      <c r="Y3" s="92">
        <v>0.5</v>
      </c>
      <c r="Z3" s="93">
        <v>0</v>
      </c>
      <c r="AA3" s="98">
        <v>0</v>
      </c>
      <c r="AB3" s="283" t="s">
        <v>217</v>
      </c>
    </row>
    <row r="4" spans="1:28" s="20" customFormat="1" x14ac:dyDescent="0.3">
      <c r="A4" s="38">
        <v>44563</v>
      </c>
      <c r="B4" s="39">
        <v>2</v>
      </c>
      <c r="C4" s="14">
        <v>6</v>
      </c>
      <c r="D4" s="14">
        <v>4.7</v>
      </c>
      <c r="E4" s="14">
        <v>7.5</v>
      </c>
      <c r="F4" s="14">
        <v>1.5</v>
      </c>
      <c r="G4" s="30">
        <f t="shared" ref="G4:G32" si="0">E4-F4</f>
        <v>6</v>
      </c>
      <c r="H4" s="30">
        <f t="shared" ref="H4:H31" si="1">(B4+C4+2*D4)/4</f>
        <v>4.3499999999999996</v>
      </c>
      <c r="I4" s="67">
        <v>3.9377083333333252</v>
      </c>
      <c r="J4" s="14">
        <v>6.9</v>
      </c>
      <c r="K4" s="14">
        <v>1.1000000000000001</v>
      </c>
      <c r="L4" s="67">
        <v>3.4517361111111002</v>
      </c>
      <c r="M4" s="73">
        <v>99.6</v>
      </c>
      <c r="N4" s="24">
        <v>90.3</v>
      </c>
      <c r="O4" s="69">
        <v>96.677430555555532</v>
      </c>
      <c r="P4" s="102">
        <v>1025.0041590697699</v>
      </c>
      <c r="Q4" s="21">
        <v>1013.35307196829</v>
      </c>
      <c r="R4" s="56">
        <v>1020.5592501339261</v>
      </c>
      <c r="S4" s="61">
        <v>6.5000000052000004</v>
      </c>
      <c r="T4" s="51">
        <v>4.1700000033359998</v>
      </c>
      <c r="U4" s="25">
        <v>1.0118857427606105</v>
      </c>
      <c r="V4" s="192" t="s">
        <v>248</v>
      </c>
      <c r="W4" s="193"/>
      <c r="X4" s="16">
        <v>0</v>
      </c>
      <c r="Y4" s="17">
        <v>0</v>
      </c>
      <c r="Z4" s="18">
        <v>0</v>
      </c>
      <c r="AA4" s="42">
        <v>0</v>
      </c>
      <c r="AB4" s="284" t="s">
        <v>218</v>
      </c>
    </row>
    <row r="5" spans="1:28" s="20" customFormat="1" x14ac:dyDescent="0.3">
      <c r="A5" s="38">
        <v>44564</v>
      </c>
      <c r="B5" s="39">
        <v>4.5</v>
      </c>
      <c r="C5" s="14">
        <v>6.9</v>
      </c>
      <c r="D5" s="14">
        <v>1.4</v>
      </c>
      <c r="E5" s="14">
        <v>7.9</v>
      </c>
      <c r="F5" s="14">
        <v>0.1</v>
      </c>
      <c r="G5" s="30">
        <f t="shared" si="0"/>
        <v>7.8000000000000007</v>
      </c>
      <c r="H5" s="30">
        <f t="shared" si="1"/>
        <v>3.55</v>
      </c>
      <c r="I5" s="67">
        <v>3.9141666666666639</v>
      </c>
      <c r="J5" s="14">
        <v>6.6</v>
      </c>
      <c r="K5" s="14">
        <v>-0.4</v>
      </c>
      <c r="L5" s="67">
        <v>3.3650694444444373</v>
      </c>
      <c r="M5" s="73">
        <v>98.1</v>
      </c>
      <c r="N5" s="24">
        <v>89.2</v>
      </c>
      <c r="O5" s="69">
        <v>96.220138888888769</v>
      </c>
      <c r="P5" s="102">
        <v>1013.7540606707699</v>
      </c>
      <c r="Q5" s="21">
        <v>1008.1147956554699</v>
      </c>
      <c r="R5" s="56">
        <v>1010.6241481406784</v>
      </c>
      <c r="S5" s="61">
        <v>7.1000000056800001</v>
      </c>
      <c r="T5" s="51">
        <v>3.7600000030080003</v>
      </c>
      <c r="U5" s="25">
        <v>1.2310269492732386</v>
      </c>
      <c r="V5" s="192" t="s">
        <v>211</v>
      </c>
      <c r="W5" s="193" t="s">
        <v>210</v>
      </c>
      <c r="X5" s="16">
        <v>18</v>
      </c>
      <c r="Y5" s="17">
        <v>1.2</v>
      </c>
      <c r="Z5" s="18">
        <v>0</v>
      </c>
      <c r="AA5" s="42">
        <v>0</v>
      </c>
      <c r="AB5" s="284" t="s">
        <v>219</v>
      </c>
    </row>
    <row r="6" spans="1:28" s="20" customFormat="1" x14ac:dyDescent="0.3">
      <c r="A6" s="38">
        <v>44565</v>
      </c>
      <c r="B6" s="39">
        <v>1.2</v>
      </c>
      <c r="C6" s="14">
        <v>6.5</v>
      </c>
      <c r="D6" s="14">
        <v>8.6999999999999993</v>
      </c>
      <c r="E6" s="14">
        <v>9.6</v>
      </c>
      <c r="F6" s="14">
        <v>0.3</v>
      </c>
      <c r="G6" s="30">
        <f t="shared" si="0"/>
        <v>9.2999999999999989</v>
      </c>
      <c r="H6" s="30">
        <f t="shared" si="1"/>
        <v>6.2749999999999995</v>
      </c>
      <c r="I6" s="67">
        <v>4.7131250000000025</v>
      </c>
      <c r="J6" s="14">
        <v>7.1</v>
      </c>
      <c r="K6" s="14">
        <v>-0.1</v>
      </c>
      <c r="L6" s="67">
        <v>3.6975694444444254</v>
      </c>
      <c r="M6" s="73">
        <v>99.3</v>
      </c>
      <c r="N6" s="24">
        <v>83.7</v>
      </c>
      <c r="O6" s="69">
        <v>93.331180555555548</v>
      </c>
      <c r="P6" s="102">
        <v>1011.1932426391199</v>
      </c>
      <c r="Q6" s="21">
        <v>996.12644079855704</v>
      </c>
      <c r="R6" s="56">
        <v>1003.4909917473697</v>
      </c>
      <c r="S6" s="62">
        <v>10.500000008400001</v>
      </c>
      <c r="T6" s="52">
        <v>6.1233333382319994</v>
      </c>
      <c r="U6" s="19">
        <v>2.4757841011782915</v>
      </c>
      <c r="V6" s="192" t="s">
        <v>249</v>
      </c>
      <c r="W6" s="194"/>
      <c r="X6" s="16">
        <v>0</v>
      </c>
      <c r="Y6" s="17">
        <v>0</v>
      </c>
      <c r="Z6" s="18">
        <v>0</v>
      </c>
      <c r="AA6" s="42">
        <v>0</v>
      </c>
      <c r="AB6" s="284" t="s">
        <v>218</v>
      </c>
    </row>
    <row r="7" spans="1:28" s="20" customFormat="1" x14ac:dyDescent="0.3">
      <c r="A7" s="38">
        <v>44566</v>
      </c>
      <c r="B7" s="39">
        <v>6.6</v>
      </c>
      <c r="C7" s="14">
        <v>7</v>
      </c>
      <c r="D7" s="14">
        <v>3.8</v>
      </c>
      <c r="E7" s="14">
        <v>9.6</v>
      </c>
      <c r="F7" s="14">
        <v>2.2000000000000002</v>
      </c>
      <c r="G7" s="30">
        <f t="shared" si="0"/>
        <v>7.3999999999999995</v>
      </c>
      <c r="H7" s="30">
        <f t="shared" si="1"/>
        <v>5.3</v>
      </c>
      <c r="I7" s="67">
        <v>6.3170138888888676</v>
      </c>
      <c r="J7" s="14">
        <v>7.2</v>
      </c>
      <c r="K7" s="14">
        <v>1.5</v>
      </c>
      <c r="L7" s="67">
        <v>5.3906944444444305</v>
      </c>
      <c r="M7" s="73">
        <v>97.6</v>
      </c>
      <c r="N7" s="24">
        <v>84.6</v>
      </c>
      <c r="O7" s="69">
        <v>93.897083333333043</v>
      </c>
      <c r="P7" s="102">
        <v>1004.92502285799</v>
      </c>
      <c r="Q7" s="21">
        <v>996.34890138623905</v>
      </c>
      <c r="R7" s="56">
        <v>999.12763911879756</v>
      </c>
      <c r="S7" s="61">
        <v>8.2000000065599998</v>
      </c>
      <c r="T7" s="51">
        <v>4.5233333369519997</v>
      </c>
      <c r="U7" s="25">
        <v>1.141805887946056</v>
      </c>
      <c r="V7" s="192" t="s">
        <v>212</v>
      </c>
      <c r="W7" s="194" t="s">
        <v>210</v>
      </c>
      <c r="X7" s="16">
        <v>18</v>
      </c>
      <c r="Y7" s="17">
        <v>4</v>
      </c>
      <c r="Z7" s="18">
        <v>0</v>
      </c>
      <c r="AA7" s="42">
        <v>0</v>
      </c>
      <c r="AB7" s="284" t="s">
        <v>220</v>
      </c>
    </row>
    <row r="8" spans="1:28" s="20" customFormat="1" x14ac:dyDescent="0.3">
      <c r="A8" s="38">
        <v>44567</v>
      </c>
      <c r="B8" s="39">
        <v>-1.2</v>
      </c>
      <c r="C8" s="14">
        <v>4.8</v>
      </c>
      <c r="D8" s="14">
        <v>-1.4</v>
      </c>
      <c r="E8" s="14">
        <v>5.0999999999999996</v>
      </c>
      <c r="F8" s="14">
        <v>-2</v>
      </c>
      <c r="G8" s="30">
        <f t="shared" si="0"/>
        <v>7.1</v>
      </c>
      <c r="H8" s="30">
        <f t="shared" si="1"/>
        <v>0.19999999999999996</v>
      </c>
      <c r="I8" s="67">
        <v>0.78548611111110689</v>
      </c>
      <c r="J8" s="14">
        <v>2.9</v>
      </c>
      <c r="K8" s="14">
        <v>-5.8</v>
      </c>
      <c r="L8" s="67">
        <v>-1.0794444444444455</v>
      </c>
      <c r="M8" s="73">
        <v>98.5</v>
      </c>
      <c r="N8" s="24">
        <v>70</v>
      </c>
      <c r="O8" s="69">
        <v>87.706805555555761</v>
      </c>
      <c r="P8" s="102">
        <v>1019.74504311538</v>
      </c>
      <c r="Q8" s="21">
        <v>1004.61776897819</v>
      </c>
      <c r="R8" s="56">
        <v>1010.3359427395677</v>
      </c>
      <c r="S8" s="61">
        <v>8.8000000070399995</v>
      </c>
      <c r="T8" s="51">
        <v>5.2533333375359996</v>
      </c>
      <c r="U8" s="25">
        <v>1.1016961040492859</v>
      </c>
      <c r="V8" s="192" t="s">
        <v>214</v>
      </c>
      <c r="W8" s="194"/>
      <c r="X8" s="16">
        <v>0</v>
      </c>
      <c r="Y8" s="17">
        <v>0</v>
      </c>
      <c r="Z8" s="18">
        <v>0</v>
      </c>
      <c r="AA8" s="42">
        <v>0</v>
      </c>
      <c r="AB8" s="284" t="s">
        <v>221</v>
      </c>
    </row>
    <row r="9" spans="1:28" s="20" customFormat="1" x14ac:dyDescent="0.3">
      <c r="A9" s="38">
        <v>44568</v>
      </c>
      <c r="B9" s="39">
        <v>-5.9</v>
      </c>
      <c r="C9" s="14">
        <v>1.3</v>
      </c>
      <c r="D9" s="14">
        <v>-7.8</v>
      </c>
      <c r="E9" s="14">
        <v>1.9</v>
      </c>
      <c r="F9" s="14">
        <v>-10</v>
      </c>
      <c r="G9" s="30">
        <f t="shared" si="0"/>
        <v>11.9</v>
      </c>
      <c r="H9" s="30">
        <f t="shared" si="1"/>
        <v>-5.05</v>
      </c>
      <c r="I9" s="67">
        <v>-3.7432638888888943</v>
      </c>
      <c r="J9" s="14">
        <v>-3.7</v>
      </c>
      <c r="K9" s="14">
        <v>-11.2</v>
      </c>
      <c r="L9" s="67">
        <v>-6.8704166666666762</v>
      </c>
      <c r="M9" s="73">
        <v>93.8</v>
      </c>
      <c r="N9" s="24">
        <v>57.7</v>
      </c>
      <c r="O9" s="69">
        <v>79.578958333333375</v>
      </c>
      <c r="P9" s="102">
        <v>1024.60407221939</v>
      </c>
      <c r="Q9" s="21">
        <v>1019.54015160581</v>
      </c>
      <c r="R9" s="56">
        <v>1022.2278983682829</v>
      </c>
      <c r="S9" s="61">
        <v>6.8000000054400003</v>
      </c>
      <c r="T9" s="51">
        <v>3.8500000030800003</v>
      </c>
      <c r="U9" s="25">
        <v>1.1480117436459198</v>
      </c>
      <c r="V9" s="192" t="s">
        <v>250</v>
      </c>
      <c r="W9" s="194"/>
      <c r="X9" s="16">
        <v>0</v>
      </c>
      <c r="Y9" s="17">
        <v>0</v>
      </c>
      <c r="Z9" s="18">
        <v>0</v>
      </c>
      <c r="AA9" s="42">
        <v>0</v>
      </c>
      <c r="AB9" s="284" t="s">
        <v>222</v>
      </c>
    </row>
    <row r="10" spans="1:28" s="20" customFormat="1" x14ac:dyDescent="0.3">
      <c r="A10" s="38">
        <v>44569</v>
      </c>
      <c r="B10" s="39">
        <v>-7.9</v>
      </c>
      <c r="C10" s="14">
        <v>1.1000000000000001</v>
      </c>
      <c r="D10" s="14">
        <v>-3.8</v>
      </c>
      <c r="E10" s="14">
        <v>1.1000000000000001</v>
      </c>
      <c r="F10" s="14">
        <v>-11</v>
      </c>
      <c r="G10" s="30">
        <f t="shared" si="0"/>
        <v>12.1</v>
      </c>
      <c r="H10" s="30">
        <f t="shared" si="1"/>
        <v>-3.6</v>
      </c>
      <c r="I10" s="67">
        <v>-5.0464583333333337</v>
      </c>
      <c r="J10" s="14">
        <v>-2.9</v>
      </c>
      <c r="K10" s="14">
        <v>-12.2</v>
      </c>
      <c r="L10" s="67">
        <v>-6.7906249999999853</v>
      </c>
      <c r="M10" s="73">
        <v>93.3</v>
      </c>
      <c r="N10" s="24">
        <v>71.7</v>
      </c>
      <c r="O10" s="69">
        <v>87.8576388888888</v>
      </c>
      <c r="P10" s="102">
        <v>1021.09821153128</v>
      </c>
      <c r="Q10" s="21">
        <v>1010.00155212706</v>
      </c>
      <c r="R10" s="56">
        <v>1015.7294684629309</v>
      </c>
      <c r="S10" s="61">
        <v>3.1000000024799998</v>
      </c>
      <c r="T10" s="51">
        <v>1.7433333347280002</v>
      </c>
      <c r="U10" s="25">
        <v>0.5019190329987997</v>
      </c>
      <c r="V10" s="192" t="s">
        <v>213</v>
      </c>
      <c r="W10" s="194"/>
      <c r="X10" s="16">
        <v>0</v>
      </c>
      <c r="Y10" s="17">
        <v>0</v>
      </c>
      <c r="Z10" s="18">
        <v>0</v>
      </c>
      <c r="AA10" s="42">
        <v>0</v>
      </c>
      <c r="AB10" s="284" t="s">
        <v>223</v>
      </c>
    </row>
    <row r="11" spans="1:28" s="20" customFormat="1" ht="28.8" x14ac:dyDescent="0.3">
      <c r="A11" s="38">
        <v>44570</v>
      </c>
      <c r="B11" s="39">
        <v>-5.8</v>
      </c>
      <c r="C11" s="14">
        <v>-1.6</v>
      </c>
      <c r="D11" s="14">
        <v>-8.4</v>
      </c>
      <c r="E11" s="14">
        <v>-0.9</v>
      </c>
      <c r="F11" s="14">
        <v>-8.5</v>
      </c>
      <c r="G11" s="30">
        <f t="shared" si="0"/>
        <v>7.6</v>
      </c>
      <c r="H11" s="30">
        <f t="shared" si="1"/>
        <v>-6.0500000000000007</v>
      </c>
      <c r="I11" s="67">
        <v>-5.1351388888888811</v>
      </c>
      <c r="J11" s="14">
        <v>-2.9</v>
      </c>
      <c r="K11" s="14">
        <v>-9.5</v>
      </c>
      <c r="L11" s="67">
        <v>-6.1927083333333446</v>
      </c>
      <c r="M11" s="73">
        <v>95.2</v>
      </c>
      <c r="N11" s="24">
        <v>84.6</v>
      </c>
      <c r="O11" s="69">
        <v>92.315138888888598</v>
      </c>
      <c r="P11" s="102">
        <v>1010.32584750935</v>
      </c>
      <c r="Q11" s="21">
        <v>1006.16437447198</v>
      </c>
      <c r="R11" s="56">
        <v>1007.9978556682875</v>
      </c>
      <c r="S11" s="61">
        <v>3.1000000024799998</v>
      </c>
      <c r="T11" s="51">
        <v>1.9600000015679999</v>
      </c>
      <c r="U11" s="25">
        <v>0.57383720976139607</v>
      </c>
      <c r="V11" s="192" t="s">
        <v>214</v>
      </c>
      <c r="W11" s="194"/>
      <c r="X11" s="16">
        <v>0</v>
      </c>
      <c r="Y11" s="17">
        <v>0</v>
      </c>
      <c r="Z11" s="18">
        <v>0</v>
      </c>
      <c r="AA11" s="42">
        <v>0</v>
      </c>
      <c r="AB11" s="284" t="s">
        <v>224</v>
      </c>
    </row>
    <row r="12" spans="1:28" s="20" customFormat="1" x14ac:dyDescent="0.3">
      <c r="A12" s="38">
        <v>44571</v>
      </c>
      <c r="B12" s="39">
        <v>-7.8</v>
      </c>
      <c r="C12" s="14">
        <v>-0.3</v>
      </c>
      <c r="D12" s="14">
        <v>-2.2999999999999998</v>
      </c>
      <c r="E12" s="14">
        <v>0.7</v>
      </c>
      <c r="F12" s="14">
        <v>-8.4</v>
      </c>
      <c r="G12" s="30">
        <f t="shared" si="0"/>
        <v>9.1</v>
      </c>
      <c r="H12" s="30">
        <f t="shared" si="1"/>
        <v>-3.1749999999999998</v>
      </c>
      <c r="I12" s="67">
        <v>-3.3968130311614995</v>
      </c>
      <c r="J12" s="14">
        <v>-2.4</v>
      </c>
      <c r="K12" s="14">
        <v>-9.4</v>
      </c>
      <c r="L12" s="67">
        <v>-4.9684844192634925</v>
      </c>
      <c r="M12" s="73">
        <v>94.5</v>
      </c>
      <c r="N12" s="24">
        <v>78.7</v>
      </c>
      <c r="O12" s="69">
        <v>89.00007082152986</v>
      </c>
      <c r="P12" s="102">
        <v>1026.2245146616999</v>
      </c>
      <c r="Q12" s="21">
        <v>1010.05255564865</v>
      </c>
      <c r="R12" s="56">
        <v>1016.7304090041227</v>
      </c>
      <c r="S12" s="61">
        <v>10.20000000816</v>
      </c>
      <c r="T12" s="51">
        <v>6.1766666716079994</v>
      </c>
      <c r="U12" s="25">
        <v>2.3601069017909069</v>
      </c>
      <c r="V12" s="192" t="s">
        <v>215</v>
      </c>
      <c r="W12" s="194"/>
      <c r="X12" s="16">
        <v>0</v>
      </c>
      <c r="Y12" s="17">
        <v>0</v>
      </c>
      <c r="Z12" s="18">
        <v>0</v>
      </c>
      <c r="AA12" s="42">
        <v>0</v>
      </c>
      <c r="AB12" s="284" t="s">
        <v>225</v>
      </c>
    </row>
    <row r="13" spans="1:28" s="20" customFormat="1" x14ac:dyDescent="0.3">
      <c r="A13" s="38">
        <v>44572</v>
      </c>
      <c r="B13" s="39">
        <v>-1.9</v>
      </c>
      <c r="C13" s="14">
        <v>-0.9</v>
      </c>
      <c r="D13" s="14">
        <v>-2</v>
      </c>
      <c r="E13" s="14">
        <v>-0.4</v>
      </c>
      <c r="F13" s="14">
        <v>-2.6</v>
      </c>
      <c r="G13" s="30">
        <f t="shared" si="0"/>
        <v>2.2000000000000002</v>
      </c>
      <c r="H13" s="30">
        <f t="shared" si="1"/>
        <v>-1.7</v>
      </c>
      <c r="I13" s="67">
        <v>-1.7269444444444531</v>
      </c>
      <c r="J13" s="14">
        <v>-3.9</v>
      </c>
      <c r="K13" s="14">
        <v>-6.4</v>
      </c>
      <c r="L13" s="67">
        <v>-4.9500694444444679</v>
      </c>
      <c r="M13" s="73">
        <v>87.9</v>
      </c>
      <c r="N13" s="24">
        <v>69.900000000000006</v>
      </c>
      <c r="O13" s="69">
        <v>78.722986111110984</v>
      </c>
      <c r="P13" s="102">
        <v>1034.17933341297</v>
      </c>
      <c r="Q13" s="21">
        <v>1026.15620898314</v>
      </c>
      <c r="R13" s="56">
        <v>1030.6545892724125</v>
      </c>
      <c r="S13" s="61">
        <v>9.9000000079199992</v>
      </c>
      <c r="T13" s="51">
        <v>6.5433333385679999</v>
      </c>
      <c r="U13" s="25">
        <v>3.3465110651620025</v>
      </c>
      <c r="V13" s="192" t="s">
        <v>214</v>
      </c>
      <c r="W13" s="194"/>
      <c r="X13" s="16">
        <v>0</v>
      </c>
      <c r="Y13" s="17">
        <v>0</v>
      </c>
      <c r="Z13" s="18">
        <v>0</v>
      </c>
      <c r="AA13" s="42">
        <v>0</v>
      </c>
      <c r="AB13" s="284" t="s">
        <v>231</v>
      </c>
    </row>
    <row r="14" spans="1:28" s="20" customFormat="1" x14ac:dyDescent="0.3">
      <c r="A14" s="38">
        <v>44573</v>
      </c>
      <c r="B14" s="39">
        <v>-3.4</v>
      </c>
      <c r="C14" s="14">
        <v>-2.5</v>
      </c>
      <c r="D14" s="14">
        <v>-5.4</v>
      </c>
      <c r="E14" s="14">
        <v>-2.2999999999999998</v>
      </c>
      <c r="F14" s="14">
        <v>-5.6</v>
      </c>
      <c r="G14" s="30">
        <f t="shared" si="0"/>
        <v>3.3</v>
      </c>
      <c r="H14" s="30">
        <f t="shared" si="1"/>
        <v>-4.1750000000000007</v>
      </c>
      <c r="I14" s="67">
        <v>-3.613819444444458</v>
      </c>
      <c r="J14" s="14">
        <v>-6</v>
      </c>
      <c r="K14" s="14">
        <v>-8.6</v>
      </c>
      <c r="L14" s="67">
        <v>-7.3896527777777488</v>
      </c>
      <c r="M14" s="73">
        <v>84.2</v>
      </c>
      <c r="N14" s="24">
        <v>70</v>
      </c>
      <c r="O14" s="69">
        <v>75.068333333333328</v>
      </c>
      <c r="P14" s="102">
        <v>1036.4334094299099</v>
      </c>
      <c r="Q14" s="21">
        <v>1033.69474430997</v>
      </c>
      <c r="R14" s="56">
        <v>1035.259116736466</v>
      </c>
      <c r="S14" s="61">
        <v>8.5000000068000006</v>
      </c>
      <c r="T14" s="51">
        <v>4.6333333370399998</v>
      </c>
      <c r="U14" s="25">
        <v>2.2319695890411841</v>
      </c>
      <c r="V14" s="192" t="s">
        <v>215</v>
      </c>
      <c r="W14" s="194"/>
      <c r="X14" s="16">
        <v>0</v>
      </c>
      <c r="Y14" s="17">
        <v>0</v>
      </c>
      <c r="Z14" s="18">
        <v>0</v>
      </c>
      <c r="AA14" s="42">
        <v>0</v>
      </c>
      <c r="AB14" s="284" t="s">
        <v>226</v>
      </c>
    </row>
    <row r="15" spans="1:28" s="199" customFormat="1" x14ac:dyDescent="0.3">
      <c r="A15" s="38">
        <v>44574</v>
      </c>
      <c r="B15" s="294">
        <v>-3.7</v>
      </c>
      <c r="C15" s="295">
        <v>-3.4</v>
      </c>
      <c r="D15" s="295">
        <v>-4.4000000000000004</v>
      </c>
      <c r="E15" s="295">
        <v>-2.2999999999999998</v>
      </c>
      <c r="F15" s="295">
        <v>-5.0999999999999996</v>
      </c>
      <c r="G15" s="30">
        <f t="shared" si="0"/>
        <v>2.8</v>
      </c>
      <c r="H15" s="30">
        <f t="shared" si="1"/>
        <v>-3.9750000000000001</v>
      </c>
      <c r="I15" s="296">
        <v>-4.0000694444444411</v>
      </c>
      <c r="J15" s="295">
        <v>-5.9</v>
      </c>
      <c r="K15" s="295">
        <v>-7.6</v>
      </c>
      <c r="L15" s="296">
        <v>-6.5881944444444693</v>
      </c>
      <c r="M15" s="297">
        <v>88.8</v>
      </c>
      <c r="N15" s="298">
        <v>73.3</v>
      </c>
      <c r="O15" s="299">
        <v>82.185069444444395</v>
      </c>
      <c r="P15" s="300">
        <v>1036.5077310458801</v>
      </c>
      <c r="Q15" s="301">
        <v>1031.2258856559199</v>
      </c>
      <c r="R15" s="302">
        <v>1034.3581028285901</v>
      </c>
      <c r="S15" s="303">
        <v>6.8000000054400003</v>
      </c>
      <c r="T15" s="304">
        <v>4.9466666706239995</v>
      </c>
      <c r="U15" s="305">
        <v>2.0522909107327387</v>
      </c>
      <c r="V15" s="306" t="s">
        <v>211</v>
      </c>
      <c r="W15" s="195" t="s">
        <v>227</v>
      </c>
      <c r="X15" s="307">
        <v>0</v>
      </c>
      <c r="Y15" s="308">
        <v>0</v>
      </c>
      <c r="Z15" s="309">
        <v>0</v>
      </c>
      <c r="AA15" s="310">
        <v>0</v>
      </c>
      <c r="AB15" s="293" t="s">
        <v>228</v>
      </c>
    </row>
    <row r="16" spans="1:28" s="20" customFormat="1" ht="28.8" x14ac:dyDescent="0.3">
      <c r="A16" s="38">
        <v>44575</v>
      </c>
      <c r="B16" s="39">
        <v>-4.5999999999999996</v>
      </c>
      <c r="C16" s="14">
        <v>-2.7</v>
      </c>
      <c r="D16" s="14">
        <v>-2.2999999999999998</v>
      </c>
      <c r="E16" s="14">
        <v>2.8</v>
      </c>
      <c r="F16" s="14">
        <v>-4.7</v>
      </c>
      <c r="G16" s="30">
        <f t="shared" si="0"/>
        <v>7.5</v>
      </c>
      <c r="H16" s="30">
        <f t="shared" si="1"/>
        <v>-2.9749999999999996</v>
      </c>
      <c r="I16" s="67">
        <v>-3.0895138888888778</v>
      </c>
      <c r="J16" s="14">
        <v>0.3</v>
      </c>
      <c r="K16" s="14">
        <v>-6.3</v>
      </c>
      <c r="L16" s="67">
        <v>-4.0861805555555542</v>
      </c>
      <c r="M16" s="73">
        <v>95.5</v>
      </c>
      <c r="N16" s="24">
        <v>81.099999999999994</v>
      </c>
      <c r="O16" s="69">
        <v>92.824513888888674</v>
      </c>
      <c r="P16" s="102">
        <v>1031.53331660663</v>
      </c>
      <c r="Q16" s="21">
        <v>1021.06511163004</v>
      </c>
      <c r="R16" s="56">
        <v>1025.3238072840493</v>
      </c>
      <c r="S16" s="61">
        <v>10.900000008719999</v>
      </c>
      <c r="T16" s="51">
        <v>5.4133333376640005</v>
      </c>
      <c r="U16" s="25">
        <v>1.9040217406536442</v>
      </c>
      <c r="V16" s="192" t="s">
        <v>211</v>
      </c>
      <c r="W16" s="195" t="s">
        <v>227</v>
      </c>
      <c r="X16" s="26">
        <v>0</v>
      </c>
      <c r="Y16" s="27">
        <v>0</v>
      </c>
      <c r="Z16" s="28">
        <v>0</v>
      </c>
      <c r="AA16" s="29">
        <v>0</v>
      </c>
      <c r="AB16" s="285" t="s">
        <v>229</v>
      </c>
    </row>
    <row r="17" spans="1:28" s="20" customFormat="1" x14ac:dyDescent="0.3">
      <c r="A17" s="38">
        <v>44576</v>
      </c>
      <c r="B17" s="39">
        <v>-1.9</v>
      </c>
      <c r="C17" s="14">
        <v>7.2</v>
      </c>
      <c r="D17" s="14">
        <v>-5.5</v>
      </c>
      <c r="E17" s="14">
        <v>8.1</v>
      </c>
      <c r="F17" s="14">
        <v>-8.4</v>
      </c>
      <c r="G17" s="30">
        <f t="shared" si="0"/>
        <v>16.5</v>
      </c>
      <c r="H17" s="30">
        <f t="shared" si="1"/>
        <v>-1.4249999999999998</v>
      </c>
      <c r="I17" s="67">
        <v>-0.19652777777777777</v>
      </c>
      <c r="J17" s="14">
        <v>-0.1</v>
      </c>
      <c r="K17" s="14">
        <v>-9.8000000000000007</v>
      </c>
      <c r="L17" s="67">
        <v>-5.1443055555555608</v>
      </c>
      <c r="M17" s="73">
        <v>93.7</v>
      </c>
      <c r="N17" s="24">
        <v>40</v>
      </c>
      <c r="O17" s="69">
        <v>71.913333333333313</v>
      </c>
      <c r="P17" s="102">
        <v>1029.1488244147599</v>
      </c>
      <c r="Q17" s="21">
        <v>1021.73587123118</v>
      </c>
      <c r="R17" s="56">
        <v>1025.2324345935219</v>
      </c>
      <c r="S17" s="61">
        <v>9.5000000076000006</v>
      </c>
      <c r="T17" s="51">
        <v>5.7466666712640002</v>
      </c>
      <c r="U17" s="25">
        <v>1.5588114270519271</v>
      </c>
      <c r="V17" s="192" t="s">
        <v>250</v>
      </c>
      <c r="W17" s="195"/>
      <c r="X17" s="26">
        <v>0</v>
      </c>
      <c r="Y17" s="27">
        <v>0</v>
      </c>
      <c r="Z17" s="28">
        <v>0</v>
      </c>
      <c r="AA17" s="29">
        <v>0</v>
      </c>
      <c r="AB17" s="285" t="s">
        <v>230</v>
      </c>
    </row>
    <row r="18" spans="1:28" s="20" customFormat="1" x14ac:dyDescent="0.3">
      <c r="A18" s="38">
        <v>44577</v>
      </c>
      <c r="B18" s="39">
        <v>-6.7</v>
      </c>
      <c r="C18" s="14">
        <v>-4</v>
      </c>
      <c r="D18" s="14">
        <v>-4</v>
      </c>
      <c r="E18" s="14">
        <v>-3.6</v>
      </c>
      <c r="F18" s="14">
        <v>-10.199999999999999</v>
      </c>
      <c r="G18" s="30">
        <f t="shared" si="0"/>
        <v>6.6</v>
      </c>
      <c r="H18" s="30">
        <f t="shared" si="1"/>
        <v>-4.6749999999999998</v>
      </c>
      <c r="I18" s="67">
        <v>-5.6624999999999979</v>
      </c>
      <c r="J18" s="14">
        <v>-4.5999999999999996</v>
      </c>
      <c r="K18" s="14">
        <v>-11.5</v>
      </c>
      <c r="L18" s="67">
        <v>-6.7648611111111743</v>
      </c>
      <c r="M18" s="73">
        <v>93.9</v>
      </c>
      <c r="N18" s="24">
        <v>89.1</v>
      </c>
      <c r="O18" s="69">
        <v>91.884861111111121</v>
      </c>
      <c r="P18" s="102">
        <v>1028.55947780572</v>
      </c>
      <c r="Q18" s="21">
        <v>1020.9200120187</v>
      </c>
      <c r="R18" s="56">
        <v>1025.4084888230361</v>
      </c>
      <c r="S18" s="61">
        <v>6.10000000488</v>
      </c>
      <c r="T18" s="51">
        <v>4.3200000034560002</v>
      </c>
      <c r="U18" s="25">
        <v>1.2580551534012205</v>
      </c>
      <c r="V18" s="192" t="s">
        <v>251</v>
      </c>
      <c r="W18" s="195" t="s">
        <v>227</v>
      </c>
      <c r="X18" s="26">
        <v>0</v>
      </c>
      <c r="Y18" s="27">
        <v>0</v>
      </c>
      <c r="Z18" s="28">
        <v>0</v>
      </c>
      <c r="AA18" s="29">
        <v>0</v>
      </c>
      <c r="AB18" s="285" t="s">
        <v>221</v>
      </c>
    </row>
    <row r="19" spans="1:28" s="20" customFormat="1" ht="28.8" x14ac:dyDescent="0.3">
      <c r="A19" s="38">
        <v>44578</v>
      </c>
      <c r="B19" s="39">
        <v>-3</v>
      </c>
      <c r="C19" s="14">
        <v>-1.3</v>
      </c>
      <c r="D19" s="14">
        <v>0.4</v>
      </c>
      <c r="E19" s="14">
        <v>0.7</v>
      </c>
      <c r="F19" s="14">
        <v>-3.6</v>
      </c>
      <c r="G19" s="30">
        <f t="shared" si="0"/>
        <v>4.3</v>
      </c>
      <c r="H19" s="30">
        <f t="shared" si="1"/>
        <v>-0.875</v>
      </c>
      <c r="I19" s="67">
        <v>-1.6851388888888903</v>
      </c>
      <c r="J19" s="14">
        <v>-1.1000000000000001</v>
      </c>
      <c r="K19" s="14">
        <v>-4.5999999999999996</v>
      </c>
      <c r="L19" s="67">
        <v>-3.3810416666666727</v>
      </c>
      <c r="M19" s="73">
        <v>95.8</v>
      </c>
      <c r="N19" s="24">
        <v>69.599999999999994</v>
      </c>
      <c r="O19" s="69">
        <v>88.572777777777716</v>
      </c>
      <c r="P19" s="102">
        <v>1021.73464712245</v>
      </c>
      <c r="Q19" s="21">
        <v>1007.47833812165</v>
      </c>
      <c r="R19" s="56">
        <v>1015.878722421874</v>
      </c>
      <c r="S19" s="61">
        <v>11.60000000928</v>
      </c>
      <c r="T19" s="51">
        <v>5.9100000047280004</v>
      </c>
      <c r="U19" s="25">
        <v>2.5757278040984239</v>
      </c>
      <c r="V19" s="192" t="s">
        <v>252</v>
      </c>
      <c r="W19" s="195" t="s">
        <v>232</v>
      </c>
      <c r="X19" s="26">
        <v>6</v>
      </c>
      <c r="Y19" s="27">
        <v>2</v>
      </c>
      <c r="Z19" s="28">
        <v>4</v>
      </c>
      <c r="AA19" s="29">
        <v>4</v>
      </c>
      <c r="AB19" s="285" t="s">
        <v>234</v>
      </c>
    </row>
    <row r="20" spans="1:28" s="20" customFormat="1" x14ac:dyDescent="0.3">
      <c r="A20" s="38">
        <v>44579</v>
      </c>
      <c r="B20" s="39">
        <v>-1.2</v>
      </c>
      <c r="C20" s="14">
        <v>2.1</v>
      </c>
      <c r="D20" s="14">
        <v>-0.8</v>
      </c>
      <c r="E20" s="14">
        <v>3.4</v>
      </c>
      <c r="F20" s="14">
        <v>-2.2000000000000002</v>
      </c>
      <c r="G20" s="30">
        <f t="shared" si="0"/>
        <v>5.6</v>
      </c>
      <c r="H20" s="30">
        <f t="shared" si="1"/>
        <v>-0.17499999999999999</v>
      </c>
      <c r="I20" s="67">
        <v>0.15284722222222238</v>
      </c>
      <c r="J20" s="14">
        <v>-1.7</v>
      </c>
      <c r="K20" s="14">
        <v>-5.5</v>
      </c>
      <c r="L20" s="67">
        <v>-3.8934722222222389</v>
      </c>
      <c r="M20" s="73">
        <v>81</v>
      </c>
      <c r="N20" s="24">
        <v>64.400000000000006</v>
      </c>
      <c r="O20" s="69">
        <v>74.269027777777922</v>
      </c>
      <c r="P20" s="102">
        <v>1034.5523024445199</v>
      </c>
      <c r="Q20" s="21">
        <v>1021.84600775607</v>
      </c>
      <c r="R20" s="56">
        <v>1028.9921762491579</v>
      </c>
      <c r="S20" s="61">
        <v>13.30000001064</v>
      </c>
      <c r="T20" s="51">
        <v>6.5233333385519998</v>
      </c>
      <c r="U20" s="25">
        <v>2.7460484870453121</v>
      </c>
      <c r="V20" s="192" t="s">
        <v>215</v>
      </c>
      <c r="W20" s="195"/>
      <c r="X20" s="26">
        <v>0</v>
      </c>
      <c r="Y20" s="27">
        <v>0</v>
      </c>
      <c r="Z20" s="28">
        <v>0</v>
      </c>
      <c r="AA20" s="29">
        <v>3</v>
      </c>
      <c r="AB20" s="285" t="s">
        <v>233</v>
      </c>
    </row>
    <row r="21" spans="1:28" s="20" customFormat="1" x14ac:dyDescent="0.3">
      <c r="A21" s="38">
        <v>44580</v>
      </c>
      <c r="B21" s="39">
        <v>-9.6999999999999993</v>
      </c>
      <c r="C21" s="14">
        <v>2.6</v>
      </c>
      <c r="D21" s="14">
        <v>-2</v>
      </c>
      <c r="E21" s="14">
        <v>3</v>
      </c>
      <c r="F21" s="14">
        <v>-10.5</v>
      </c>
      <c r="G21" s="30">
        <f t="shared" si="0"/>
        <v>13.5</v>
      </c>
      <c r="H21" s="30">
        <f t="shared" si="1"/>
        <v>-2.7749999999999999</v>
      </c>
      <c r="I21" s="67">
        <v>-2.9484027777777588</v>
      </c>
      <c r="J21" s="14">
        <v>-2.5</v>
      </c>
      <c r="K21" s="14">
        <v>-11.7</v>
      </c>
      <c r="L21" s="67">
        <v>-5.6959027777777873</v>
      </c>
      <c r="M21" s="73">
        <v>94.8</v>
      </c>
      <c r="N21" s="24">
        <v>64.3</v>
      </c>
      <c r="O21" s="69">
        <v>81.916527777777759</v>
      </c>
      <c r="P21" s="102">
        <v>1034.47747601732</v>
      </c>
      <c r="Q21" s="21">
        <v>1019.69687722622</v>
      </c>
      <c r="R21" s="56">
        <v>1028.3019493598433</v>
      </c>
      <c r="S21" s="61">
        <v>9.5000000076000006</v>
      </c>
      <c r="T21" s="51">
        <v>7.9866666730559999</v>
      </c>
      <c r="U21" s="25">
        <v>1.6679142455203795</v>
      </c>
      <c r="V21" s="192" t="s">
        <v>249</v>
      </c>
      <c r="W21" s="195"/>
      <c r="X21" s="26">
        <v>0</v>
      </c>
      <c r="Y21" s="27">
        <v>0</v>
      </c>
      <c r="Z21" s="28">
        <v>0</v>
      </c>
      <c r="AA21" s="29">
        <v>2.5</v>
      </c>
      <c r="AB21" s="285" t="s">
        <v>235</v>
      </c>
    </row>
    <row r="22" spans="1:28" s="20" customFormat="1" ht="28.8" x14ac:dyDescent="0.3">
      <c r="A22" s="38">
        <v>44581</v>
      </c>
      <c r="B22" s="39">
        <v>-1.2</v>
      </c>
      <c r="C22" s="14">
        <v>-0.9</v>
      </c>
      <c r="D22" s="14">
        <v>-6.1</v>
      </c>
      <c r="E22" s="14">
        <v>-0.3</v>
      </c>
      <c r="F22" s="14">
        <v>-7.6</v>
      </c>
      <c r="G22" s="30">
        <f t="shared" si="0"/>
        <v>7.3</v>
      </c>
      <c r="H22" s="30">
        <f t="shared" si="1"/>
        <v>-3.5749999999999997</v>
      </c>
      <c r="I22" s="67">
        <v>-2.2490972222222165</v>
      </c>
      <c r="J22" s="14">
        <v>-2.1</v>
      </c>
      <c r="K22" s="14">
        <v>-10</v>
      </c>
      <c r="L22" s="67">
        <v>-3.7942361111111174</v>
      </c>
      <c r="M22" s="73">
        <v>94.4</v>
      </c>
      <c r="N22" s="24">
        <v>79.8</v>
      </c>
      <c r="O22" s="69">
        <v>89.132847222221983</v>
      </c>
      <c r="P22" s="102">
        <v>1019.79932843462</v>
      </c>
      <c r="Q22" s="21">
        <v>1009.04610174582</v>
      </c>
      <c r="R22" s="56">
        <v>1013.7779486793979</v>
      </c>
      <c r="S22" s="61">
        <v>10.500000008400001</v>
      </c>
      <c r="T22" s="51">
        <v>7.0100000056079992</v>
      </c>
      <c r="U22" s="25">
        <v>2.91437575990724</v>
      </c>
      <c r="V22" s="192" t="s">
        <v>212</v>
      </c>
      <c r="W22" s="195" t="s">
        <v>232</v>
      </c>
      <c r="X22" s="26">
        <v>6</v>
      </c>
      <c r="Y22" s="27">
        <v>1.2</v>
      </c>
      <c r="Z22" s="28">
        <v>3.5</v>
      </c>
      <c r="AA22" s="29">
        <v>5.5</v>
      </c>
      <c r="AB22" s="285" t="s">
        <v>236</v>
      </c>
    </row>
    <row r="23" spans="1:28" s="20" customFormat="1" x14ac:dyDescent="0.3">
      <c r="A23" s="38">
        <v>44582</v>
      </c>
      <c r="B23" s="39">
        <v>-10</v>
      </c>
      <c r="C23" s="14">
        <v>2</v>
      </c>
      <c r="D23" s="14">
        <v>-4</v>
      </c>
      <c r="E23" s="14">
        <v>2.6</v>
      </c>
      <c r="F23" s="14">
        <v>-11.8</v>
      </c>
      <c r="G23" s="30">
        <f t="shared" si="0"/>
        <v>14.4</v>
      </c>
      <c r="H23" s="30">
        <f t="shared" si="1"/>
        <v>-4</v>
      </c>
      <c r="I23" s="67">
        <v>-4.5103472222222258</v>
      </c>
      <c r="J23" s="14">
        <v>-2.2999999999999998</v>
      </c>
      <c r="K23" s="14">
        <v>-13</v>
      </c>
      <c r="L23" s="67">
        <v>-7.73861111111108</v>
      </c>
      <c r="M23" s="73">
        <v>96.1</v>
      </c>
      <c r="N23" s="24">
        <v>63.7</v>
      </c>
      <c r="O23" s="69">
        <v>78.945277777777775</v>
      </c>
      <c r="P23" s="102">
        <v>1018.36008546604</v>
      </c>
      <c r="Q23" s="21">
        <v>1014.58653698337</v>
      </c>
      <c r="R23" s="56">
        <v>1016.922293247825</v>
      </c>
      <c r="S23" s="61">
        <v>7.1000000056800001</v>
      </c>
      <c r="T23" s="51">
        <v>3.9833333365200003</v>
      </c>
      <c r="U23" s="25">
        <v>0.99715151594924101</v>
      </c>
      <c r="V23" s="192" t="s">
        <v>215</v>
      </c>
      <c r="W23" s="195" t="s">
        <v>227</v>
      </c>
      <c r="X23" s="26">
        <v>0</v>
      </c>
      <c r="Y23" s="27">
        <v>0</v>
      </c>
      <c r="Z23" s="28">
        <v>0</v>
      </c>
      <c r="AA23" s="29">
        <v>3.5</v>
      </c>
      <c r="AB23" s="285" t="s">
        <v>237</v>
      </c>
    </row>
    <row r="24" spans="1:28" s="20" customFormat="1" ht="28.8" x14ac:dyDescent="0.3">
      <c r="A24" s="38">
        <v>44583</v>
      </c>
      <c r="B24" s="39">
        <v>-9.1999999999999993</v>
      </c>
      <c r="C24" s="14">
        <v>-0.6</v>
      </c>
      <c r="D24" s="14">
        <v>-1.5</v>
      </c>
      <c r="E24" s="14">
        <v>2.6</v>
      </c>
      <c r="F24" s="14">
        <v>-9.8000000000000007</v>
      </c>
      <c r="G24" s="30">
        <f t="shared" si="0"/>
        <v>12.4</v>
      </c>
      <c r="H24" s="30">
        <f t="shared" si="1"/>
        <v>-3.1999999999999997</v>
      </c>
      <c r="I24" s="67">
        <v>-3.3413194444444514</v>
      </c>
      <c r="J24" s="14">
        <v>-2.4</v>
      </c>
      <c r="K24" s="14">
        <v>-11.1</v>
      </c>
      <c r="L24" s="67">
        <v>-5.7572916666666742</v>
      </c>
      <c r="M24" s="73">
        <v>93.1</v>
      </c>
      <c r="N24" s="24">
        <v>67.900000000000006</v>
      </c>
      <c r="O24" s="69">
        <v>83.607013888888815</v>
      </c>
      <c r="P24" s="102">
        <v>1024.88548986158</v>
      </c>
      <c r="Q24" s="21">
        <v>1015.6023430144101</v>
      </c>
      <c r="R24" s="56">
        <v>1019.3279477722202</v>
      </c>
      <c r="S24" s="61">
        <v>9.9000000079199992</v>
      </c>
      <c r="T24" s="51">
        <v>6.0300000048239992</v>
      </c>
      <c r="U24" s="25">
        <v>1.7133963192001751</v>
      </c>
      <c r="V24" s="192" t="s">
        <v>253</v>
      </c>
      <c r="W24" s="195" t="s">
        <v>232</v>
      </c>
      <c r="X24" s="26">
        <v>6</v>
      </c>
      <c r="Y24" s="27">
        <v>0.9</v>
      </c>
      <c r="Z24" s="28">
        <v>2</v>
      </c>
      <c r="AA24" s="29">
        <v>5</v>
      </c>
      <c r="AB24" s="285" t="s">
        <v>238</v>
      </c>
    </row>
    <row r="25" spans="1:28" s="20" customFormat="1" ht="28.8" x14ac:dyDescent="0.3">
      <c r="A25" s="38">
        <v>44584</v>
      </c>
      <c r="B25" s="39">
        <v>-1.9</v>
      </c>
      <c r="C25" s="14">
        <v>-1.3</v>
      </c>
      <c r="D25" s="14">
        <v>-3.2</v>
      </c>
      <c r="E25" s="14">
        <v>1.9</v>
      </c>
      <c r="F25" s="14">
        <v>-6.7</v>
      </c>
      <c r="G25" s="30">
        <f t="shared" si="0"/>
        <v>8.6</v>
      </c>
      <c r="H25" s="30">
        <f t="shared" si="1"/>
        <v>-2.4000000000000004</v>
      </c>
      <c r="I25" s="67">
        <v>-1.9863314447592035</v>
      </c>
      <c r="J25" s="14">
        <v>-3</v>
      </c>
      <c r="K25" s="14">
        <v>-10.199999999999999</v>
      </c>
      <c r="L25" s="67">
        <v>-5.8458923512747818</v>
      </c>
      <c r="M25" s="73">
        <v>82.4</v>
      </c>
      <c r="N25" s="24">
        <v>65.400000000000006</v>
      </c>
      <c r="O25" s="69">
        <v>74.895821529744893</v>
      </c>
      <c r="P25" s="102">
        <v>1034.3773679933699</v>
      </c>
      <c r="Q25" s="21">
        <v>1023.7858256897</v>
      </c>
      <c r="R25" s="56">
        <v>1027.9190251503924</v>
      </c>
      <c r="S25" s="61">
        <v>11.20000000896</v>
      </c>
      <c r="T25" s="51">
        <v>6.4983333385319995</v>
      </c>
      <c r="U25" s="25">
        <v>3.0533574903653951</v>
      </c>
      <c r="V25" s="192" t="s">
        <v>215</v>
      </c>
      <c r="W25" s="195" t="s">
        <v>232</v>
      </c>
      <c r="X25" s="26">
        <v>6</v>
      </c>
      <c r="Y25" s="27">
        <v>0.1</v>
      </c>
      <c r="Z25" s="28">
        <v>0.5</v>
      </c>
      <c r="AA25" s="29">
        <v>4.5</v>
      </c>
      <c r="AB25" s="285" t="s">
        <v>238</v>
      </c>
    </row>
    <row r="26" spans="1:28" s="20" customFormat="1" x14ac:dyDescent="0.3">
      <c r="A26" s="38">
        <v>44585</v>
      </c>
      <c r="B26" s="39">
        <v>-13.7</v>
      </c>
      <c r="C26" s="14">
        <v>-0.6</v>
      </c>
      <c r="D26" s="14">
        <v>-11.6</v>
      </c>
      <c r="E26" s="14">
        <v>0.2</v>
      </c>
      <c r="F26" s="14">
        <v>-14.5</v>
      </c>
      <c r="G26" s="30">
        <f t="shared" si="0"/>
        <v>14.7</v>
      </c>
      <c r="H26" s="30">
        <f t="shared" si="1"/>
        <v>-9.375</v>
      </c>
      <c r="I26" s="67">
        <v>-8.5289583333333461</v>
      </c>
      <c r="J26" s="14">
        <v>-6.2</v>
      </c>
      <c r="K26" s="14">
        <v>-16.2</v>
      </c>
      <c r="L26" s="67">
        <v>-11.578958333333325</v>
      </c>
      <c r="M26" s="73">
        <v>91.7</v>
      </c>
      <c r="N26" s="24">
        <v>58.9</v>
      </c>
      <c r="O26" s="69">
        <v>79.343263888888842</v>
      </c>
      <c r="P26" s="102">
        <v>1038.0147354350299</v>
      </c>
      <c r="Q26" s="21">
        <v>1034.27487320859</v>
      </c>
      <c r="R26" s="56">
        <v>1036.0690077237587</v>
      </c>
      <c r="S26" s="61">
        <v>3.1000000024799998</v>
      </c>
      <c r="T26" s="51">
        <v>1.5400000012319999</v>
      </c>
      <c r="U26" s="25">
        <v>0.57873188452095137</v>
      </c>
      <c r="V26" s="192" t="s">
        <v>213</v>
      </c>
      <c r="W26" s="195" t="s">
        <v>227</v>
      </c>
      <c r="X26" s="26">
        <v>0</v>
      </c>
      <c r="Y26" s="27">
        <v>0</v>
      </c>
      <c r="Z26" s="28">
        <v>0</v>
      </c>
      <c r="AA26" s="29">
        <v>4</v>
      </c>
      <c r="AB26" s="285" t="s">
        <v>239</v>
      </c>
    </row>
    <row r="27" spans="1:28" s="20" customFormat="1" ht="28.8" x14ac:dyDescent="0.3">
      <c r="A27" s="38">
        <v>44586</v>
      </c>
      <c r="B27" s="39">
        <v>-7.2</v>
      </c>
      <c r="C27" s="14">
        <v>-5.3</v>
      </c>
      <c r="D27" s="14">
        <v>-6.9</v>
      </c>
      <c r="E27" s="14">
        <v>-3.6</v>
      </c>
      <c r="F27" s="14">
        <v>-11.7</v>
      </c>
      <c r="G27" s="30">
        <f t="shared" si="0"/>
        <v>8.1</v>
      </c>
      <c r="H27" s="30">
        <f t="shared" si="1"/>
        <v>-6.5750000000000002</v>
      </c>
      <c r="I27" s="67">
        <v>-6.8545833333332995</v>
      </c>
      <c r="J27" s="14">
        <v>-7.5</v>
      </c>
      <c r="K27" s="14">
        <v>-13.1</v>
      </c>
      <c r="L27" s="67">
        <v>-8.9769444444444364</v>
      </c>
      <c r="M27" s="73">
        <v>92.6</v>
      </c>
      <c r="N27" s="24">
        <v>71.3</v>
      </c>
      <c r="O27" s="69">
        <v>85.001458333333218</v>
      </c>
      <c r="P27" s="102">
        <v>1035.8252642863899</v>
      </c>
      <c r="Q27" s="21">
        <v>1028.34912507942</v>
      </c>
      <c r="R27" s="56">
        <v>1031.1492634306908</v>
      </c>
      <c r="S27" s="61">
        <v>4.4000000035199998</v>
      </c>
      <c r="T27" s="51">
        <v>3.0300000024239999</v>
      </c>
      <c r="U27" s="25">
        <v>0.8922472189044105</v>
      </c>
      <c r="V27" s="192" t="s">
        <v>249</v>
      </c>
      <c r="W27" s="195" t="s">
        <v>240</v>
      </c>
      <c r="X27" s="26">
        <v>6</v>
      </c>
      <c r="Y27" s="27">
        <v>1.1000000000000001</v>
      </c>
      <c r="Z27" s="28">
        <v>0.5</v>
      </c>
      <c r="AA27" s="29">
        <v>3.8</v>
      </c>
      <c r="AB27" s="285" t="s">
        <v>241</v>
      </c>
    </row>
    <row r="28" spans="1:28" s="20" customFormat="1" x14ac:dyDescent="0.3">
      <c r="A28" s="38">
        <v>44587</v>
      </c>
      <c r="B28" s="39">
        <v>-5.8</v>
      </c>
      <c r="C28" s="14">
        <v>-2.8</v>
      </c>
      <c r="D28" s="14">
        <v>-4.7</v>
      </c>
      <c r="E28" s="14">
        <v>-2.6</v>
      </c>
      <c r="F28" s="14">
        <v>-6.6</v>
      </c>
      <c r="G28" s="30">
        <f>E28-F28</f>
        <v>3.9999999999999996</v>
      </c>
      <c r="H28" s="30">
        <f t="shared" si="1"/>
        <v>-4.5</v>
      </c>
      <c r="I28" s="67">
        <v>-4.7549999999999946</v>
      </c>
      <c r="J28" s="14">
        <v>-4.8</v>
      </c>
      <c r="K28" s="14">
        <v>-7.7</v>
      </c>
      <c r="L28" s="67">
        <v>-6.1833333333333487</v>
      </c>
      <c r="M28" s="73">
        <v>93.2</v>
      </c>
      <c r="N28" s="24">
        <v>82.8</v>
      </c>
      <c r="O28" s="69">
        <v>89.751944444444376</v>
      </c>
      <c r="P28" s="102">
        <v>1028.55411842639</v>
      </c>
      <c r="Q28" s="21">
        <v>1024.58349640296</v>
      </c>
      <c r="R28" s="56">
        <v>1026.4841736993469</v>
      </c>
      <c r="S28" s="61">
        <v>2.7000000021599999</v>
      </c>
      <c r="T28" s="51">
        <v>2.0100000016080002</v>
      </c>
      <c r="U28" s="25">
        <v>0.42500000033999924</v>
      </c>
      <c r="V28" s="192" t="s">
        <v>254</v>
      </c>
      <c r="W28" s="195" t="s">
        <v>232</v>
      </c>
      <c r="X28" s="26">
        <v>6</v>
      </c>
      <c r="Y28" s="27">
        <v>1</v>
      </c>
      <c r="Z28" s="28">
        <v>3</v>
      </c>
      <c r="AA28" s="29">
        <v>4.5</v>
      </c>
      <c r="AB28" s="285" t="s">
        <v>242</v>
      </c>
    </row>
    <row r="29" spans="1:28" s="20" customFormat="1" x14ac:dyDescent="0.3">
      <c r="A29" s="38">
        <v>44588</v>
      </c>
      <c r="B29" s="39">
        <v>-4.4000000000000004</v>
      </c>
      <c r="C29" s="14">
        <v>-1.5</v>
      </c>
      <c r="D29" s="14">
        <v>-1.6</v>
      </c>
      <c r="E29" s="14">
        <v>-1.1000000000000001</v>
      </c>
      <c r="F29" s="14">
        <v>-4.8</v>
      </c>
      <c r="G29" s="30">
        <f t="shared" si="0"/>
        <v>3.6999999999999997</v>
      </c>
      <c r="H29" s="30">
        <f t="shared" si="1"/>
        <v>-2.2750000000000004</v>
      </c>
      <c r="I29" s="67">
        <v>-2.7909722222221944</v>
      </c>
      <c r="J29" s="14">
        <v>-2.2000000000000002</v>
      </c>
      <c r="K29" s="14">
        <v>-5.7</v>
      </c>
      <c r="L29" s="67">
        <v>-3.7795138888888435</v>
      </c>
      <c r="M29" s="73">
        <v>95.2</v>
      </c>
      <c r="N29" s="24">
        <v>87.9</v>
      </c>
      <c r="O29" s="69">
        <v>92.879513888888582</v>
      </c>
      <c r="P29" s="102">
        <v>1025.09589063001</v>
      </c>
      <c r="Q29" s="21">
        <v>1014.97510008084</v>
      </c>
      <c r="R29" s="56">
        <v>1020.2853980316316</v>
      </c>
      <c r="S29" s="61">
        <v>7.1000000056800001</v>
      </c>
      <c r="T29" s="51">
        <v>4.8366666705359993</v>
      </c>
      <c r="U29" s="25">
        <v>1.0419938422500739</v>
      </c>
      <c r="V29" s="192" t="s">
        <v>214</v>
      </c>
      <c r="W29" s="195" t="s">
        <v>232</v>
      </c>
      <c r="X29" s="26">
        <v>6</v>
      </c>
      <c r="Y29" s="27">
        <v>1.1000000000000001</v>
      </c>
      <c r="Z29" s="28">
        <v>1.5</v>
      </c>
      <c r="AA29" s="29">
        <v>7</v>
      </c>
      <c r="AB29" s="285" t="s">
        <v>243</v>
      </c>
    </row>
    <row r="30" spans="1:28" s="20" customFormat="1" x14ac:dyDescent="0.3">
      <c r="A30" s="38">
        <v>44589</v>
      </c>
      <c r="B30" s="39">
        <v>-1.1000000000000001</v>
      </c>
      <c r="C30" s="14">
        <v>4.5</v>
      </c>
      <c r="D30" s="14">
        <v>1.9</v>
      </c>
      <c r="E30" s="14">
        <v>5.3</v>
      </c>
      <c r="F30" s="14">
        <v>-1.6</v>
      </c>
      <c r="G30" s="30">
        <f t="shared" si="0"/>
        <v>6.9</v>
      </c>
      <c r="H30" s="30">
        <f t="shared" si="1"/>
        <v>1.7999999999999998</v>
      </c>
      <c r="I30" s="67">
        <v>1.2963194444444408</v>
      </c>
      <c r="J30" s="14">
        <v>2.2000000000000002</v>
      </c>
      <c r="K30" s="14">
        <v>-2.2999999999999998</v>
      </c>
      <c r="L30" s="67">
        <v>-0.29375000000000334</v>
      </c>
      <c r="M30" s="73">
        <v>96.2</v>
      </c>
      <c r="N30" s="24">
        <v>76</v>
      </c>
      <c r="O30" s="69">
        <v>89.388055555555553</v>
      </c>
      <c r="P30" s="102">
        <v>1022.71434534283</v>
      </c>
      <c r="Q30" s="21">
        <v>1012.35103780007</v>
      </c>
      <c r="R30" s="56">
        <v>1015.5942582922581</v>
      </c>
      <c r="S30" s="61">
        <v>8.2000000065599998</v>
      </c>
      <c r="T30" s="51">
        <v>4.6300000037039997</v>
      </c>
      <c r="U30" s="25">
        <v>1.7696499253122175</v>
      </c>
      <c r="V30" s="192" t="s">
        <v>255</v>
      </c>
      <c r="W30" s="195" t="s">
        <v>240</v>
      </c>
      <c r="X30" s="26">
        <v>12</v>
      </c>
      <c r="Y30" s="27">
        <v>1.1000000000000001</v>
      </c>
      <c r="Z30" s="28">
        <v>0.5</v>
      </c>
      <c r="AA30" s="29">
        <v>6</v>
      </c>
      <c r="AB30" s="285" t="s">
        <v>244</v>
      </c>
    </row>
    <row r="31" spans="1:28" s="20" customFormat="1" x14ac:dyDescent="0.3">
      <c r="A31" s="38">
        <v>44590</v>
      </c>
      <c r="B31" s="39">
        <v>-2.1</v>
      </c>
      <c r="C31" s="14">
        <v>5.0999999999999996</v>
      </c>
      <c r="D31" s="14">
        <v>1.3</v>
      </c>
      <c r="E31" s="14">
        <v>5.5</v>
      </c>
      <c r="F31" s="14">
        <v>-2.6</v>
      </c>
      <c r="G31" s="30">
        <f t="shared" si="0"/>
        <v>8.1</v>
      </c>
      <c r="H31" s="30">
        <f t="shared" si="1"/>
        <v>1.4</v>
      </c>
      <c r="I31" s="67">
        <v>1.361736111111109</v>
      </c>
      <c r="J31" s="14">
        <v>-0.2</v>
      </c>
      <c r="K31" s="14">
        <v>-5.8</v>
      </c>
      <c r="L31" s="67">
        <v>-3.1758333333333315</v>
      </c>
      <c r="M31" s="73">
        <v>92.3</v>
      </c>
      <c r="N31" s="24">
        <v>44.1</v>
      </c>
      <c r="O31" s="69">
        <v>72.994861111110993</v>
      </c>
      <c r="P31" s="102">
        <v>1025.1609416743299</v>
      </c>
      <c r="Q31" s="21">
        <v>1011.14911770921</v>
      </c>
      <c r="R31" s="56">
        <v>1020.5557223832053</v>
      </c>
      <c r="S31" s="61">
        <v>9.9000000079199992</v>
      </c>
      <c r="T31" s="51">
        <v>5.9700000047759998</v>
      </c>
      <c r="U31" s="25">
        <v>2.7490458510220384</v>
      </c>
      <c r="V31" s="192" t="s">
        <v>250</v>
      </c>
      <c r="W31" s="195" t="s">
        <v>240</v>
      </c>
      <c r="X31" s="26">
        <v>6</v>
      </c>
      <c r="Y31" s="27">
        <v>0.6</v>
      </c>
      <c r="Z31" s="28">
        <v>0</v>
      </c>
      <c r="AA31" s="29">
        <v>4.5</v>
      </c>
      <c r="AB31" s="285" t="s">
        <v>245</v>
      </c>
    </row>
    <row r="32" spans="1:28" s="20" customFormat="1" x14ac:dyDescent="0.3">
      <c r="A32" s="38">
        <v>44591</v>
      </c>
      <c r="B32" s="39">
        <v>-0.1</v>
      </c>
      <c r="C32" s="14">
        <v>5.3</v>
      </c>
      <c r="D32" s="14">
        <v>2.6</v>
      </c>
      <c r="E32" s="14">
        <v>7.6</v>
      </c>
      <c r="F32" s="14">
        <v>-0.6</v>
      </c>
      <c r="G32" s="30">
        <f t="shared" si="0"/>
        <v>8.1999999999999993</v>
      </c>
      <c r="H32" s="30">
        <f>(B32+C32+2*D32)/4</f>
        <v>2.6</v>
      </c>
      <c r="I32" s="67">
        <v>2.5094444444444401</v>
      </c>
      <c r="J32" s="14">
        <v>2.2999999999999998</v>
      </c>
      <c r="K32" s="14">
        <v>-1.7</v>
      </c>
      <c r="L32" s="67">
        <v>0.38291666666666596</v>
      </c>
      <c r="M32" s="73">
        <v>95.2</v>
      </c>
      <c r="N32" s="24">
        <v>61.2</v>
      </c>
      <c r="O32" s="69">
        <v>86.307638888888945</v>
      </c>
      <c r="P32" s="102">
        <v>1011.3539696374301</v>
      </c>
      <c r="Q32" s="21">
        <v>1002.98626783202</v>
      </c>
      <c r="R32" s="56">
        <v>1006.1363681265829</v>
      </c>
      <c r="S32" s="61">
        <v>12.20000000976</v>
      </c>
      <c r="T32" s="51">
        <v>6.7333333387199987</v>
      </c>
      <c r="U32" s="25">
        <v>2.0590843039728441</v>
      </c>
      <c r="V32" s="192" t="s">
        <v>211</v>
      </c>
      <c r="W32" s="195" t="s">
        <v>210</v>
      </c>
      <c r="X32" s="26">
        <v>6</v>
      </c>
      <c r="Y32" s="27">
        <v>1.5</v>
      </c>
      <c r="Z32" s="28">
        <v>0</v>
      </c>
      <c r="AA32" s="29">
        <v>4.2</v>
      </c>
      <c r="AB32" s="285" t="s">
        <v>246</v>
      </c>
    </row>
    <row r="33" spans="1:29" s="343" customFormat="1" ht="15" thickBot="1" x14ac:dyDescent="0.35">
      <c r="A33" s="38">
        <v>44592</v>
      </c>
      <c r="B33" s="323">
        <v>1.4</v>
      </c>
      <c r="C33" s="324">
        <v>3.4</v>
      </c>
      <c r="D33" s="324">
        <v>-1.1000000000000001</v>
      </c>
      <c r="E33" s="324">
        <v>4.3</v>
      </c>
      <c r="F33" s="324">
        <v>-1.7</v>
      </c>
      <c r="G33" s="324">
        <f>E33-F33</f>
        <v>6</v>
      </c>
      <c r="H33" s="324">
        <f>(B33+C33+2*D33)/4</f>
        <v>0.64999999999999991</v>
      </c>
      <c r="I33" s="326">
        <v>1.4221527777777889</v>
      </c>
      <c r="J33" s="324">
        <v>-0.2</v>
      </c>
      <c r="K33" s="324">
        <v>-4.5999999999999996</v>
      </c>
      <c r="L33" s="326">
        <v>-3.0278472222222237</v>
      </c>
      <c r="M33" s="327">
        <v>90.2</v>
      </c>
      <c r="N33" s="328">
        <v>55.7</v>
      </c>
      <c r="O33" s="329">
        <v>72.870625000000103</v>
      </c>
      <c r="P33" s="330">
        <v>1009.36398908636</v>
      </c>
      <c r="Q33" s="331">
        <v>1003.4651446402</v>
      </c>
      <c r="R33" s="332">
        <v>1006.5122677572971</v>
      </c>
      <c r="S33" s="333">
        <v>10.20000000816</v>
      </c>
      <c r="T33" s="334">
        <v>5.9866666714559997</v>
      </c>
      <c r="U33" s="335">
        <v>1.6839762264806017</v>
      </c>
      <c r="V33" s="336" t="s">
        <v>250</v>
      </c>
      <c r="W33" s="337" t="s">
        <v>227</v>
      </c>
      <c r="X33" s="338">
        <v>0</v>
      </c>
      <c r="Y33" s="339">
        <v>0</v>
      </c>
      <c r="Z33" s="340">
        <v>0</v>
      </c>
      <c r="AA33" s="341">
        <v>4</v>
      </c>
      <c r="AB33" s="342" t="s">
        <v>247</v>
      </c>
    </row>
    <row r="34" spans="1:29" s="361" customFormat="1" x14ac:dyDescent="0.3">
      <c r="A34" s="38">
        <v>44593</v>
      </c>
      <c r="B34" s="344">
        <v>-2</v>
      </c>
      <c r="C34" s="345">
        <v>2.7</v>
      </c>
      <c r="D34" s="345">
        <v>-1.2</v>
      </c>
      <c r="E34" s="345">
        <v>3.2</v>
      </c>
      <c r="F34" s="345">
        <v>-3.1</v>
      </c>
      <c r="G34" s="346">
        <f>E34-F34</f>
        <v>6.3000000000000007</v>
      </c>
      <c r="H34" s="346">
        <f>(B34+C34+2*D34)/4</f>
        <v>-0.42499999999999993</v>
      </c>
      <c r="I34" s="347">
        <v>-0.41381944444444535</v>
      </c>
      <c r="J34" s="345">
        <v>0.1</v>
      </c>
      <c r="K34" s="345">
        <v>-4.2</v>
      </c>
      <c r="L34" s="347">
        <v>-2.84486111111111</v>
      </c>
      <c r="M34" s="348">
        <v>94.1</v>
      </c>
      <c r="N34" s="349">
        <v>67.900000000000006</v>
      </c>
      <c r="O34" s="350">
        <v>84.05743055555557</v>
      </c>
      <c r="P34" s="351">
        <v>1011.05930646995</v>
      </c>
      <c r="Q34" s="352">
        <v>1002.52079924264</v>
      </c>
      <c r="R34" s="353">
        <v>1007.9385843003312</v>
      </c>
      <c r="S34" s="317">
        <v>6.8000000054400003</v>
      </c>
      <c r="T34" s="318">
        <v>4.6533333370559999</v>
      </c>
      <c r="U34" s="318">
        <v>0.66975399807578107</v>
      </c>
      <c r="V34" s="319" t="s">
        <v>250</v>
      </c>
      <c r="W34" s="355" t="s">
        <v>232</v>
      </c>
      <c r="X34" s="356">
        <v>6</v>
      </c>
      <c r="Y34" s="357">
        <v>0.1</v>
      </c>
      <c r="Z34" s="358">
        <v>0.5</v>
      </c>
      <c r="AA34" s="359">
        <v>3.8</v>
      </c>
      <c r="AB34" s="360" t="s">
        <v>247</v>
      </c>
    </row>
    <row r="35" spans="1:29" s="20" customFormat="1" x14ac:dyDescent="0.3">
      <c r="A35" s="38">
        <v>44594</v>
      </c>
      <c r="B35" s="39">
        <v>0.2</v>
      </c>
      <c r="C35" s="14">
        <v>1.9</v>
      </c>
      <c r="D35" s="14">
        <v>1.9</v>
      </c>
      <c r="E35" s="14">
        <v>3.2</v>
      </c>
      <c r="F35" s="14">
        <v>-0.5</v>
      </c>
      <c r="G35" s="65">
        <f t="shared" ref="G35:G58" si="2">E35-F35</f>
        <v>3.7</v>
      </c>
      <c r="H35" s="65">
        <f t="shared" ref="H35:H61" si="3">(B35+C35+2*D35)/4</f>
        <v>1.4750000000000001</v>
      </c>
      <c r="I35" s="67">
        <v>1.0366077738515957</v>
      </c>
      <c r="J35" s="14">
        <v>1.5</v>
      </c>
      <c r="K35" s="14">
        <v>-3.1</v>
      </c>
      <c r="L35" s="67">
        <v>-0.6776678445229658</v>
      </c>
      <c r="M35" s="73">
        <v>96.3</v>
      </c>
      <c r="N35" s="24">
        <v>76.099999999999994</v>
      </c>
      <c r="O35" s="69">
        <v>88.45660777385163</v>
      </c>
      <c r="P35" s="102">
        <v>1012.43126309965</v>
      </c>
      <c r="Q35" s="21">
        <v>999.86052328097298</v>
      </c>
      <c r="R35" s="56">
        <v>1003.7308176895373</v>
      </c>
      <c r="S35" s="61">
        <v>8.5000000068000006</v>
      </c>
      <c r="T35" s="51">
        <v>5.5300000044240001</v>
      </c>
      <c r="U35" s="25">
        <v>1.7803226640258742</v>
      </c>
      <c r="V35" s="192" t="s">
        <v>211</v>
      </c>
      <c r="W35" s="193" t="s">
        <v>240</v>
      </c>
      <c r="X35" s="16">
        <v>6</v>
      </c>
      <c r="Y35" s="17">
        <v>5.5</v>
      </c>
      <c r="Z35" s="18">
        <v>0</v>
      </c>
      <c r="AA35" s="42">
        <v>3.5</v>
      </c>
      <c r="AB35" s="284" t="s">
        <v>257</v>
      </c>
    </row>
    <row r="36" spans="1:29" s="20" customFormat="1" x14ac:dyDescent="0.3">
      <c r="A36" s="38">
        <v>44595</v>
      </c>
      <c r="B36" s="39">
        <v>-0.6</v>
      </c>
      <c r="C36" s="14">
        <v>3.9</v>
      </c>
      <c r="D36" s="14">
        <v>-2.2000000000000002</v>
      </c>
      <c r="E36" s="14">
        <v>7.7</v>
      </c>
      <c r="F36" s="14">
        <v>-4</v>
      </c>
      <c r="G36" s="65">
        <f t="shared" si="2"/>
        <v>11.7</v>
      </c>
      <c r="H36" s="65">
        <f t="shared" si="3"/>
        <v>-0.27500000000000013</v>
      </c>
      <c r="I36" s="67">
        <v>0.46687500000000054</v>
      </c>
      <c r="J36" s="14">
        <v>3.8</v>
      </c>
      <c r="K36" s="14">
        <v>-4.9000000000000004</v>
      </c>
      <c r="L36" s="67">
        <v>-1.4779861111111112</v>
      </c>
      <c r="M36" s="73">
        <v>95.7</v>
      </c>
      <c r="N36" s="24">
        <v>63.1</v>
      </c>
      <c r="O36" s="69">
        <v>87.353333333333424</v>
      </c>
      <c r="P36" s="102">
        <v>1021.0802462944999</v>
      </c>
      <c r="Q36" s="21">
        <v>1012.43126309965</v>
      </c>
      <c r="R36" s="56">
        <v>1018.7824794088939</v>
      </c>
      <c r="S36" s="61">
        <v>5.4000000043199998</v>
      </c>
      <c r="T36" s="51">
        <v>2.9500000023599995</v>
      </c>
      <c r="U36" s="25">
        <v>1.1416423011082384</v>
      </c>
      <c r="V36" s="192" t="s">
        <v>215</v>
      </c>
      <c r="W36" s="193" t="s">
        <v>232</v>
      </c>
      <c r="X36" s="16">
        <v>6</v>
      </c>
      <c r="Y36" s="17">
        <v>0.5</v>
      </c>
      <c r="Z36" s="18">
        <v>8</v>
      </c>
      <c r="AA36" s="42">
        <v>12</v>
      </c>
      <c r="AB36" s="284" t="s">
        <v>233</v>
      </c>
    </row>
    <row r="37" spans="1:29" s="20" customFormat="1" x14ac:dyDescent="0.3">
      <c r="A37" s="38">
        <v>44596</v>
      </c>
      <c r="B37" s="39">
        <v>-1.4</v>
      </c>
      <c r="C37" s="14">
        <v>1.9</v>
      </c>
      <c r="D37" s="14">
        <v>0.8</v>
      </c>
      <c r="E37" s="14">
        <v>3</v>
      </c>
      <c r="F37" s="14">
        <v>-4.0999999999999996</v>
      </c>
      <c r="G37" s="65">
        <f t="shared" si="2"/>
        <v>7.1</v>
      </c>
      <c r="H37" s="65">
        <f t="shared" si="3"/>
        <v>0.52500000000000002</v>
      </c>
      <c r="I37" s="67">
        <v>-0.25263888888888919</v>
      </c>
      <c r="J37" s="14">
        <v>-0.2</v>
      </c>
      <c r="K37" s="14">
        <v>-4.9000000000000004</v>
      </c>
      <c r="L37" s="67">
        <v>-2.186875000000013</v>
      </c>
      <c r="M37" s="73">
        <v>95.1</v>
      </c>
      <c r="N37" s="24">
        <v>78.5</v>
      </c>
      <c r="O37" s="69">
        <v>86.990486111111096</v>
      </c>
      <c r="P37" s="102">
        <v>1019.17148453223</v>
      </c>
      <c r="Q37" s="21">
        <v>1013.51380959622</v>
      </c>
      <c r="R37" s="56">
        <v>1016.5796947230932</v>
      </c>
      <c r="S37" s="62">
        <v>8.8000000070399995</v>
      </c>
      <c r="T37" s="52">
        <v>5.0800000040639999</v>
      </c>
      <c r="U37" s="19">
        <v>1.7918118059811026</v>
      </c>
      <c r="V37" s="192" t="s">
        <v>249</v>
      </c>
      <c r="W37" s="194" t="s">
        <v>240</v>
      </c>
      <c r="X37" s="16">
        <v>6</v>
      </c>
      <c r="Y37" s="17">
        <v>0.1</v>
      </c>
      <c r="Z37" s="18">
        <v>0.3</v>
      </c>
      <c r="AA37" s="42">
        <v>8.5</v>
      </c>
      <c r="AB37" s="284" t="s">
        <v>247</v>
      </c>
    </row>
    <row r="38" spans="1:29" s="20" customFormat="1" x14ac:dyDescent="0.3">
      <c r="A38" s="38">
        <v>44597</v>
      </c>
      <c r="B38" s="39">
        <v>-1.5</v>
      </c>
      <c r="C38" s="14">
        <v>6.4</v>
      </c>
      <c r="D38" s="14">
        <v>-0.6</v>
      </c>
      <c r="E38" s="14">
        <v>7.6</v>
      </c>
      <c r="F38" s="14">
        <v>-4.4000000000000004</v>
      </c>
      <c r="G38" s="65">
        <f t="shared" si="2"/>
        <v>12</v>
      </c>
      <c r="H38" s="65">
        <f t="shared" si="3"/>
        <v>0.92500000000000004</v>
      </c>
      <c r="I38" s="67">
        <v>0.68222222222222295</v>
      </c>
      <c r="J38" s="14">
        <v>2.5</v>
      </c>
      <c r="K38" s="14">
        <v>-5.3</v>
      </c>
      <c r="L38" s="67">
        <v>-1.8981944444444423</v>
      </c>
      <c r="M38" s="73">
        <v>94.2</v>
      </c>
      <c r="N38" s="24">
        <v>54.9</v>
      </c>
      <c r="O38" s="69">
        <v>83.746944444444537</v>
      </c>
      <c r="P38" s="102">
        <v>1021.43506263367</v>
      </c>
      <c r="Q38" s="21">
        <v>1012.48453202453</v>
      </c>
      <c r="R38" s="56">
        <v>1016.1631666274601</v>
      </c>
      <c r="S38" s="61">
        <v>8.5000000068000006</v>
      </c>
      <c r="T38" s="51">
        <v>3.4933333361279999</v>
      </c>
      <c r="U38" s="25">
        <v>0.85904796580351528</v>
      </c>
      <c r="V38" s="192" t="s">
        <v>214</v>
      </c>
      <c r="W38" s="194" t="s">
        <v>240</v>
      </c>
      <c r="X38" s="16">
        <v>6</v>
      </c>
      <c r="Y38" s="17">
        <v>1.1000000000000001</v>
      </c>
      <c r="Z38" s="18">
        <v>1</v>
      </c>
      <c r="AA38" s="42">
        <v>6.5</v>
      </c>
      <c r="AB38" s="284" t="s">
        <v>245</v>
      </c>
    </row>
    <row r="39" spans="1:29" s="20" customFormat="1" ht="14.4" customHeight="1" x14ac:dyDescent="0.3">
      <c r="A39" s="38">
        <v>44598</v>
      </c>
      <c r="B39" s="39">
        <v>-3.6</v>
      </c>
      <c r="C39" s="14">
        <v>4</v>
      </c>
      <c r="D39" s="14">
        <v>4.0999999999999996</v>
      </c>
      <c r="E39" s="14">
        <v>5.2</v>
      </c>
      <c r="F39" s="14">
        <v>-6</v>
      </c>
      <c r="G39" s="65">
        <f t="shared" si="2"/>
        <v>11.2</v>
      </c>
      <c r="H39" s="65">
        <f t="shared" si="3"/>
        <v>2.15</v>
      </c>
      <c r="I39" s="67">
        <v>0.590902777777782</v>
      </c>
      <c r="J39" s="14">
        <v>0.5</v>
      </c>
      <c r="K39" s="14">
        <v>-6.9</v>
      </c>
      <c r="L39" s="67">
        <v>-2.3572222222222297</v>
      </c>
      <c r="M39" s="73">
        <v>96.2</v>
      </c>
      <c r="N39" s="24">
        <v>66.2</v>
      </c>
      <c r="O39" s="69">
        <v>81.565902777777808</v>
      </c>
      <c r="P39" s="102">
        <v>1021.26709100044</v>
      </c>
      <c r="Q39" s="21">
        <v>1001.58361329028</v>
      </c>
      <c r="R39" s="56">
        <v>1013.1043654062814</v>
      </c>
      <c r="S39" s="61">
        <v>14.600000011680001</v>
      </c>
      <c r="T39" s="51">
        <v>9.271666674083999</v>
      </c>
      <c r="U39" s="25">
        <v>3.1162318865509544</v>
      </c>
      <c r="V39" s="192" t="s">
        <v>251</v>
      </c>
      <c r="W39" s="194" t="s">
        <v>227</v>
      </c>
      <c r="X39" s="16">
        <v>0</v>
      </c>
      <c r="Y39" s="17">
        <v>0</v>
      </c>
      <c r="Z39" s="18">
        <v>0</v>
      </c>
      <c r="AA39" s="42">
        <v>6.5</v>
      </c>
      <c r="AB39" s="284" t="s">
        <v>258</v>
      </c>
    </row>
    <row r="40" spans="1:29" s="20" customFormat="1" x14ac:dyDescent="0.3">
      <c r="A40" s="38">
        <v>44599</v>
      </c>
      <c r="B40" s="39">
        <v>1.3</v>
      </c>
      <c r="C40" s="14">
        <v>4.0999999999999996</v>
      </c>
      <c r="D40" s="14">
        <v>0.7</v>
      </c>
      <c r="E40" s="14">
        <v>4.4000000000000004</v>
      </c>
      <c r="F40" s="14">
        <v>0</v>
      </c>
      <c r="G40" s="65">
        <f t="shared" si="2"/>
        <v>4.4000000000000004</v>
      </c>
      <c r="H40" s="65">
        <f t="shared" si="3"/>
        <v>1.6999999999999997</v>
      </c>
      <c r="I40" s="67">
        <v>2.3649999999999958</v>
      </c>
      <c r="J40" s="14">
        <v>2.2000000000000002</v>
      </c>
      <c r="K40" s="14">
        <v>-3.2</v>
      </c>
      <c r="L40" s="67">
        <v>-0.21736111111111167</v>
      </c>
      <c r="M40" s="73">
        <v>93.8</v>
      </c>
      <c r="N40" s="24">
        <v>73.400000000000006</v>
      </c>
      <c r="O40" s="69">
        <v>83.217222222222148</v>
      </c>
      <c r="P40" s="102">
        <v>1014.79823765694</v>
      </c>
      <c r="Q40" s="21">
        <v>996.833334625259</v>
      </c>
      <c r="R40" s="56">
        <v>1004.0917124628421</v>
      </c>
      <c r="S40" s="61">
        <v>11.60000000928</v>
      </c>
      <c r="T40" s="51">
        <v>6.8966666721839989</v>
      </c>
      <c r="U40" s="25">
        <v>2.3858658967470854</v>
      </c>
      <c r="V40" s="192" t="s">
        <v>252</v>
      </c>
      <c r="W40" s="194" t="s">
        <v>240</v>
      </c>
      <c r="X40" s="16">
        <v>18</v>
      </c>
      <c r="Y40" s="17">
        <v>1.1000000000000001</v>
      </c>
      <c r="Z40" s="18">
        <v>0</v>
      </c>
      <c r="AA40" s="42">
        <v>5</v>
      </c>
      <c r="AB40" s="284" t="s">
        <v>247</v>
      </c>
    </row>
    <row r="41" spans="1:29" s="20" customFormat="1" x14ac:dyDescent="0.3">
      <c r="A41" s="38">
        <v>44600</v>
      </c>
      <c r="B41" s="39">
        <v>0.5</v>
      </c>
      <c r="C41" s="14">
        <v>7</v>
      </c>
      <c r="D41" s="14">
        <v>1.9</v>
      </c>
      <c r="E41" s="14">
        <v>8.1999999999999993</v>
      </c>
      <c r="F41" s="14">
        <v>0.4</v>
      </c>
      <c r="G41" s="65">
        <f t="shared" si="2"/>
        <v>7.7999999999999989</v>
      </c>
      <c r="H41" s="65">
        <f t="shared" si="3"/>
        <v>2.8250000000000002</v>
      </c>
      <c r="I41" s="67">
        <v>3.1488194444444457</v>
      </c>
      <c r="J41" s="14">
        <v>2.8</v>
      </c>
      <c r="K41" s="14">
        <v>-1.7</v>
      </c>
      <c r="L41" s="67">
        <v>-0.45437499999999947</v>
      </c>
      <c r="M41" s="73">
        <v>94</v>
      </c>
      <c r="N41" s="24">
        <v>57.3</v>
      </c>
      <c r="O41" s="69">
        <v>77.842500000000001</v>
      </c>
      <c r="P41" s="102">
        <v>1022.63354321104</v>
      </c>
      <c r="Q41" s="21">
        <v>1014.5846804513</v>
      </c>
      <c r="R41" s="56">
        <v>1020.4926017961965</v>
      </c>
      <c r="S41" s="61">
        <v>11.900000009519999</v>
      </c>
      <c r="T41" s="51">
        <v>5.833333338000001</v>
      </c>
      <c r="U41" s="25">
        <v>1.8286024634469398</v>
      </c>
      <c r="V41" s="192" t="s">
        <v>250</v>
      </c>
      <c r="W41" s="194" t="s">
        <v>210</v>
      </c>
      <c r="X41" s="16">
        <v>6</v>
      </c>
      <c r="Y41" s="17">
        <v>1.9</v>
      </c>
      <c r="Z41" s="18">
        <v>0</v>
      </c>
      <c r="AA41" s="42">
        <v>5</v>
      </c>
      <c r="AB41" s="284" t="s">
        <v>259</v>
      </c>
    </row>
    <row r="42" spans="1:29" s="20" customFormat="1" x14ac:dyDescent="0.3">
      <c r="A42" s="38">
        <v>44601</v>
      </c>
      <c r="B42" s="39">
        <v>0.7</v>
      </c>
      <c r="C42" s="14">
        <v>5</v>
      </c>
      <c r="D42" s="14">
        <v>2.2000000000000002</v>
      </c>
      <c r="E42" s="14">
        <v>6.1</v>
      </c>
      <c r="F42" s="14">
        <v>0.5</v>
      </c>
      <c r="G42" s="65">
        <f t="shared" si="2"/>
        <v>5.6</v>
      </c>
      <c r="H42" s="65">
        <f t="shared" si="3"/>
        <v>2.5250000000000004</v>
      </c>
      <c r="I42" s="67">
        <v>2.415347222222211</v>
      </c>
      <c r="J42" s="14">
        <v>5.0999999999999996</v>
      </c>
      <c r="K42" s="14">
        <v>-0.2</v>
      </c>
      <c r="L42" s="67">
        <v>1.6604166666666658</v>
      </c>
      <c r="M42" s="73">
        <v>96.9</v>
      </c>
      <c r="N42" s="24">
        <v>89.7</v>
      </c>
      <c r="O42" s="69">
        <v>94.741666666666688</v>
      </c>
      <c r="P42" s="102">
        <v>1026.4908707871</v>
      </c>
      <c r="Q42" s="21">
        <v>1021.7420382368</v>
      </c>
      <c r="R42" s="56">
        <v>1024.9971896380596</v>
      </c>
      <c r="S42" s="61">
        <v>4.8000000038400001</v>
      </c>
      <c r="T42" s="51">
        <v>3.4133333360640004</v>
      </c>
      <c r="U42" s="25">
        <v>0.794202372942308</v>
      </c>
      <c r="V42" s="192" t="s">
        <v>214</v>
      </c>
      <c r="W42" s="194" t="s">
        <v>210</v>
      </c>
      <c r="X42" s="16">
        <v>6</v>
      </c>
      <c r="Y42" s="17">
        <v>0.5</v>
      </c>
      <c r="Z42" s="18">
        <v>0</v>
      </c>
      <c r="AA42" s="42">
        <v>4</v>
      </c>
      <c r="AB42" s="284" t="s">
        <v>260</v>
      </c>
    </row>
    <row r="43" spans="1:29" s="20" customFormat="1" x14ac:dyDescent="0.3">
      <c r="A43" s="38">
        <v>44602</v>
      </c>
      <c r="B43" s="39">
        <v>1.7</v>
      </c>
      <c r="C43" s="14">
        <v>4.5999999999999996</v>
      </c>
      <c r="D43" s="14">
        <v>2.7</v>
      </c>
      <c r="E43" s="14">
        <v>4.8</v>
      </c>
      <c r="F43" s="14">
        <v>1.7</v>
      </c>
      <c r="G43" s="65">
        <f t="shared" si="2"/>
        <v>3.0999999999999996</v>
      </c>
      <c r="H43" s="65">
        <f t="shared" si="3"/>
        <v>2.9249999999999998</v>
      </c>
      <c r="I43" s="67">
        <v>2.8138888888888913</v>
      </c>
      <c r="J43" s="14">
        <v>3.6</v>
      </c>
      <c r="K43" s="14">
        <v>1.1000000000000001</v>
      </c>
      <c r="L43" s="67">
        <v>2.0466666666666575</v>
      </c>
      <c r="M43" s="73">
        <v>96.6</v>
      </c>
      <c r="N43" s="24">
        <v>90.8</v>
      </c>
      <c r="O43" s="69">
        <v>94.679166666666305</v>
      </c>
      <c r="P43" s="102">
        <v>1025.77527253988</v>
      </c>
      <c r="Q43" s="21">
        <v>1019.8515932156701</v>
      </c>
      <c r="R43" s="56">
        <v>1023.2740345320655</v>
      </c>
      <c r="S43" s="61">
        <v>4.8000000038400001</v>
      </c>
      <c r="T43" s="51">
        <v>3.1166666691599998</v>
      </c>
      <c r="U43" s="25">
        <v>1.0961454554223709</v>
      </c>
      <c r="V43" s="192" t="s">
        <v>213</v>
      </c>
      <c r="W43" s="194" t="s">
        <v>261</v>
      </c>
      <c r="X43" s="16">
        <v>0</v>
      </c>
      <c r="Y43" s="17">
        <v>0</v>
      </c>
      <c r="Z43" s="18">
        <v>0</v>
      </c>
      <c r="AA43" s="42">
        <v>0</v>
      </c>
      <c r="AB43" s="284" t="s">
        <v>262</v>
      </c>
    </row>
    <row r="44" spans="1:29" s="20" customFormat="1" x14ac:dyDescent="0.3">
      <c r="A44" s="38">
        <v>44603</v>
      </c>
      <c r="B44" s="39">
        <v>1.4</v>
      </c>
      <c r="C44" s="14">
        <v>3.6</v>
      </c>
      <c r="D44" s="14">
        <v>2.7</v>
      </c>
      <c r="E44" s="14">
        <v>4.3</v>
      </c>
      <c r="F44" s="14">
        <v>1.1000000000000001</v>
      </c>
      <c r="G44" s="65">
        <f t="shared" si="2"/>
        <v>3.1999999999999997</v>
      </c>
      <c r="H44" s="65">
        <f t="shared" si="3"/>
        <v>2.6</v>
      </c>
      <c r="I44" s="67">
        <v>2.2858333333333296</v>
      </c>
      <c r="J44" s="14">
        <v>3.5</v>
      </c>
      <c r="K44" s="14">
        <v>-2.2000000000000002</v>
      </c>
      <c r="L44" s="67">
        <v>1.2901388888888885</v>
      </c>
      <c r="M44" s="73">
        <v>96.5</v>
      </c>
      <c r="N44" s="24">
        <v>77.8</v>
      </c>
      <c r="O44" s="69">
        <v>93.239236111110955</v>
      </c>
      <c r="P44" s="102">
        <v>1026.4995527558899</v>
      </c>
      <c r="Q44" s="21">
        <v>1018.47398636104</v>
      </c>
      <c r="R44" s="56">
        <v>1020.9170219035076</v>
      </c>
      <c r="S44" s="61">
        <v>7.8000000062400003</v>
      </c>
      <c r="T44" s="51">
        <v>4.4300000035440004</v>
      </c>
      <c r="U44" s="25">
        <v>1.107021997501519</v>
      </c>
      <c r="V44" s="192" t="s">
        <v>252</v>
      </c>
      <c r="W44" s="194" t="s">
        <v>232</v>
      </c>
      <c r="X44" s="16">
        <v>6</v>
      </c>
      <c r="Y44" s="17">
        <v>0.1</v>
      </c>
      <c r="Z44" s="18">
        <v>0</v>
      </c>
      <c r="AA44" s="42">
        <v>0</v>
      </c>
      <c r="AB44" s="284" t="s">
        <v>218</v>
      </c>
    </row>
    <row r="45" spans="1:29" s="20" customFormat="1" x14ac:dyDescent="0.3">
      <c r="A45" s="38">
        <v>44604</v>
      </c>
      <c r="B45" s="39">
        <v>0.1</v>
      </c>
      <c r="C45" s="14">
        <v>6.8</v>
      </c>
      <c r="D45" s="14">
        <v>-4.8</v>
      </c>
      <c r="E45" s="14">
        <v>7.6</v>
      </c>
      <c r="F45" s="14">
        <v>-7.1</v>
      </c>
      <c r="G45" s="65">
        <f t="shared" si="2"/>
        <v>14.7</v>
      </c>
      <c r="H45" s="65">
        <f t="shared" si="3"/>
        <v>-0.67500000000000004</v>
      </c>
      <c r="I45" s="67">
        <v>0.84277777777777785</v>
      </c>
      <c r="J45" s="14">
        <v>0</v>
      </c>
      <c r="K45" s="14">
        <v>-8.6999999999999993</v>
      </c>
      <c r="L45" s="67">
        <v>-4.1309027777777869</v>
      </c>
      <c r="M45" s="73">
        <v>91.1</v>
      </c>
      <c r="N45" s="24">
        <v>41.2</v>
      </c>
      <c r="O45" s="69">
        <v>71.362083333333231</v>
      </c>
      <c r="P45" s="102">
        <v>1035.4839630491999</v>
      </c>
      <c r="Q45" s="21">
        <v>1026.3659598817201</v>
      </c>
      <c r="R45" s="56">
        <v>1032.6912919566169</v>
      </c>
      <c r="S45" s="61">
        <v>9.5000000076000006</v>
      </c>
      <c r="T45" s="51">
        <v>5.1066666707520003</v>
      </c>
      <c r="U45" s="25">
        <v>1.6190233249103727</v>
      </c>
      <c r="V45" s="192" t="s">
        <v>215</v>
      </c>
      <c r="W45" s="194"/>
      <c r="X45" s="16">
        <v>0</v>
      </c>
      <c r="Y45" s="17">
        <v>0</v>
      </c>
      <c r="Z45" s="18">
        <v>0</v>
      </c>
      <c r="AA45" s="42">
        <v>0</v>
      </c>
      <c r="AB45" s="284" t="s">
        <v>263</v>
      </c>
    </row>
    <row r="46" spans="1:29" s="20" customFormat="1" x14ac:dyDescent="0.3">
      <c r="A46" s="38">
        <v>44605</v>
      </c>
      <c r="B46" s="39">
        <v>-9.1</v>
      </c>
      <c r="C46" s="14">
        <v>5.8</v>
      </c>
      <c r="D46" s="14">
        <v>-1.3</v>
      </c>
      <c r="E46" s="14">
        <v>5.8</v>
      </c>
      <c r="F46" s="14">
        <v>-9.6</v>
      </c>
      <c r="G46" s="65">
        <f t="shared" si="2"/>
        <v>15.399999999999999</v>
      </c>
      <c r="H46" s="65">
        <f t="shared" si="3"/>
        <v>-1.4750000000000001</v>
      </c>
      <c r="I46" s="67">
        <v>-1.8391666666666695</v>
      </c>
      <c r="J46" s="14">
        <v>-1.4</v>
      </c>
      <c r="K46" s="14">
        <v>-10.9</v>
      </c>
      <c r="L46" s="67">
        <v>-5.3790277777777984</v>
      </c>
      <c r="M46" s="73">
        <v>93.7</v>
      </c>
      <c r="N46" s="24">
        <v>53.3</v>
      </c>
      <c r="O46" s="69">
        <v>78.292916666666713</v>
      </c>
      <c r="P46" s="102">
        <v>1034.56587286578</v>
      </c>
      <c r="Q46" s="21">
        <v>1024.00711613046</v>
      </c>
      <c r="R46" s="56">
        <v>1028.9377631122989</v>
      </c>
      <c r="S46" s="61">
        <v>9.9000000079199992</v>
      </c>
      <c r="T46" s="51">
        <v>5.9666666714400005</v>
      </c>
      <c r="U46" s="25">
        <v>2.1343810933254299</v>
      </c>
      <c r="V46" s="192" t="s">
        <v>249</v>
      </c>
      <c r="W46" s="195"/>
      <c r="X46" s="26">
        <v>0</v>
      </c>
      <c r="Y46" s="27">
        <v>0</v>
      </c>
      <c r="Z46" s="28">
        <v>0</v>
      </c>
      <c r="AA46" s="29">
        <v>0</v>
      </c>
      <c r="AB46" s="285" t="s">
        <v>264</v>
      </c>
    </row>
    <row r="47" spans="1:29" s="20" customFormat="1" x14ac:dyDescent="0.3">
      <c r="A47" s="38">
        <v>44606</v>
      </c>
      <c r="B47" s="39">
        <v>1</v>
      </c>
      <c r="C47" s="14">
        <v>5.3</v>
      </c>
      <c r="D47" s="14">
        <v>3.6</v>
      </c>
      <c r="E47" s="14">
        <v>6</v>
      </c>
      <c r="F47" s="14">
        <v>-4.4000000000000004</v>
      </c>
      <c r="G47" s="65">
        <f t="shared" si="2"/>
        <v>10.4</v>
      </c>
      <c r="H47" s="65">
        <f t="shared" si="3"/>
        <v>3.375</v>
      </c>
      <c r="I47" s="67">
        <v>1.440822111977323</v>
      </c>
      <c r="J47" s="14">
        <v>0.2</v>
      </c>
      <c r="K47" s="14">
        <v>-5.5</v>
      </c>
      <c r="L47" s="67">
        <v>-2.1108433734939864</v>
      </c>
      <c r="M47" s="73">
        <v>94.3</v>
      </c>
      <c r="N47" s="24">
        <v>64.599999999999994</v>
      </c>
      <c r="O47" s="69">
        <v>77.847838412473322</v>
      </c>
      <c r="P47" s="102">
        <v>1024.11876857981</v>
      </c>
      <c r="Q47" s="21">
        <v>1015.70917662529</v>
      </c>
      <c r="R47" s="56">
        <v>1019.8002417416875</v>
      </c>
      <c r="S47" s="61">
        <v>9.9000000079199992</v>
      </c>
      <c r="T47" s="51">
        <v>5.9100000047279995</v>
      </c>
      <c r="U47" s="25">
        <v>3.0041788167862311</v>
      </c>
      <c r="V47" s="192" t="s">
        <v>212</v>
      </c>
      <c r="W47" s="195" t="s">
        <v>265</v>
      </c>
      <c r="X47" s="26">
        <v>0</v>
      </c>
      <c r="Y47" s="27">
        <v>0</v>
      </c>
      <c r="Z47" s="28">
        <v>0</v>
      </c>
      <c r="AA47" s="29">
        <v>0</v>
      </c>
      <c r="AB47" s="285" t="s">
        <v>266</v>
      </c>
      <c r="AC47" s="363"/>
    </row>
    <row r="48" spans="1:29" s="20" customFormat="1" x14ac:dyDescent="0.3">
      <c r="A48" s="38">
        <v>44607</v>
      </c>
      <c r="B48" s="39">
        <v>1.7</v>
      </c>
      <c r="C48" s="14">
        <v>3.6</v>
      </c>
      <c r="D48" s="14">
        <v>2.1</v>
      </c>
      <c r="E48" s="14">
        <v>4.3</v>
      </c>
      <c r="F48" s="14">
        <v>1.4</v>
      </c>
      <c r="G48" s="65">
        <f t="shared" si="2"/>
        <v>2.9</v>
      </c>
      <c r="H48" s="65">
        <f t="shared" si="3"/>
        <v>2.375</v>
      </c>
      <c r="I48" s="67">
        <v>2.4909722222222328</v>
      </c>
      <c r="J48" s="14">
        <v>2.1</v>
      </c>
      <c r="K48" s="14">
        <v>-1.8</v>
      </c>
      <c r="L48" s="67">
        <v>0.53465277777778042</v>
      </c>
      <c r="M48" s="73">
        <v>93.7</v>
      </c>
      <c r="N48" s="24">
        <v>67.7</v>
      </c>
      <c r="O48" s="69">
        <v>87.159444444444304</v>
      </c>
      <c r="P48" s="102">
        <v>1018.1193288173999</v>
      </c>
      <c r="Q48" s="21">
        <v>1014.2802216054999</v>
      </c>
      <c r="R48" s="218">
        <v>1016.1701433664857</v>
      </c>
      <c r="S48" s="61">
        <v>7.1000000056800001</v>
      </c>
      <c r="T48" s="51">
        <v>4.2466666700640001</v>
      </c>
      <c r="U48" s="25">
        <v>1.3737835886081049</v>
      </c>
      <c r="V48" s="192" t="s">
        <v>211</v>
      </c>
      <c r="W48" s="195" t="s">
        <v>261</v>
      </c>
      <c r="X48" s="26">
        <v>0</v>
      </c>
      <c r="Y48" s="27">
        <v>0</v>
      </c>
      <c r="Z48" s="28">
        <v>0</v>
      </c>
      <c r="AA48" s="29">
        <v>0</v>
      </c>
      <c r="AB48" s="285" t="s">
        <v>267</v>
      </c>
    </row>
    <row r="49" spans="1:28" s="20" customFormat="1" x14ac:dyDescent="0.3">
      <c r="A49" s="38">
        <v>44608</v>
      </c>
      <c r="B49" s="39">
        <v>0.4</v>
      </c>
      <c r="C49" s="14">
        <v>5.4</v>
      </c>
      <c r="D49" s="14">
        <v>5.7</v>
      </c>
      <c r="E49" s="14">
        <v>7.7</v>
      </c>
      <c r="F49" s="14">
        <v>-0.3</v>
      </c>
      <c r="G49" s="65">
        <f t="shared" si="2"/>
        <v>8</v>
      </c>
      <c r="H49" s="65">
        <f t="shared" si="3"/>
        <v>4.3000000000000007</v>
      </c>
      <c r="I49" s="67">
        <v>3.7377083333333347</v>
      </c>
      <c r="J49" s="14">
        <v>4.4000000000000004</v>
      </c>
      <c r="K49" s="14">
        <v>-1.1000000000000001</v>
      </c>
      <c r="L49" s="67">
        <v>2.0241666666666784</v>
      </c>
      <c r="M49" s="73">
        <v>96.2</v>
      </c>
      <c r="N49" s="24">
        <v>78.5</v>
      </c>
      <c r="O49" s="69">
        <v>88.809930555555596</v>
      </c>
      <c r="P49" s="102">
        <v>1017.33521853077</v>
      </c>
      <c r="Q49" s="21">
        <v>1005.54650980267</v>
      </c>
      <c r="R49" s="218">
        <v>1012.0926922608842</v>
      </c>
      <c r="S49" s="61">
        <v>10.900000008719999</v>
      </c>
      <c r="T49" s="51">
        <v>6.7400000053920008</v>
      </c>
      <c r="U49" s="25">
        <v>2.5499519713002887</v>
      </c>
      <c r="V49" s="192" t="s">
        <v>251</v>
      </c>
      <c r="W49" s="195" t="s">
        <v>210</v>
      </c>
      <c r="X49" s="26">
        <v>6</v>
      </c>
      <c r="Y49" s="27">
        <v>1.1000000000000001</v>
      </c>
      <c r="Z49" s="28">
        <v>0</v>
      </c>
      <c r="AA49" s="29">
        <v>0</v>
      </c>
      <c r="AB49" s="285" t="s">
        <v>218</v>
      </c>
    </row>
    <row r="50" spans="1:28" s="20" customFormat="1" x14ac:dyDescent="0.3">
      <c r="A50" s="38">
        <v>44609</v>
      </c>
      <c r="B50" s="39">
        <v>5.3</v>
      </c>
      <c r="C50" s="14">
        <v>5.9</v>
      </c>
      <c r="D50" s="14">
        <v>6.5</v>
      </c>
      <c r="E50" s="14">
        <v>8.8000000000000007</v>
      </c>
      <c r="F50" s="14">
        <v>3.4</v>
      </c>
      <c r="G50" s="65">
        <f t="shared" si="2"/>
        <v>5.4</v>
      </c>
      <c r="H50" s="65">
        <f t="shared" si="3"/>
        <v>6.05</v>
      </c>
      <c r="I50" s="67">
        <v>5.8993055555555491</v>
      </c>
      <c r="J50" s="14">
        <v>5.6</v>
      </c>
      <c r="K50" s="14">
        <v>0.7</v>
      </c>
      <c r="L50" s="67">
        <v>3.3890972222222215</v>
      </c>
      <c r="M50" s="73">
        <v>94.2</v>
      </c>
      <c r="N50" s="24">
        <v>68</v>
      </c>
      <c r="O50" s="69">
        <v>84.085625000000007</v>
      </c>
      <c r="P50" s="21">
        <v>1005.69145924177</v>
      </c>
      <c r="Q50" s="21">
        <v>993.40840184533897</v>
      </c>
      <c r="R50" s="218">
        <v>998.65340621655787</v>
      </c>
      <c r="S50" s="61">
        <v>18.700000014960001</v>
      </c>
      <c r="T50" s="51">
        <v>11.890000009511999</v>
      </c>
      <c r="U50" s="25">
        <v>4.4516360675914761</v>
      </c>
      <c r="V50" s="192" t="s">
        <v>211</v>
      </c>
      <c r="W50" s="195" t="s">
        <v>210</v>
      </c>
      <c r="X50" s="26">
        <v>24</v>
      </c>
      <c r="Y50" s="27">
        <v>5.3</v>
      </c>
      <c r="Z50" s="28">
        <v>0</v>
      </c>
      <c r="AA50" s="29">
        <v>0</v>
      </c>
      <c r="AB50" s="285" t="s">
        <v>268</v>
      </c>
    </row>
    <row r="51" spans="1:28" s="20" customFormat="1" x14ac:dyDescent="0.3">
      <c r="A51" s="38">
        <v>44610</v>
      </c>
      <c r="B51" s="39">
        <v>1.9</v>
      </c>
      <c r="C51" s="14">
        <v>12.1</v>
      </c>
      <c r="D51" s="14">
        <v>8.6</v>
      </c>
      <c r="E51" s="14">
        <v>12.7</v>
      </c>
      <c r="F51" s="14">
        <v>0.8</v>
      </c>
      <c r="G51" s="65">
        <f t="shared" si="2"/>
        <v>11.899999999999999</v>
      </c>
      <c r="H51" s="65">
        <f t="shared" si="3"/>
        <v>7.8</v>
      </c>
      <c r="I51" s="67">
        <v>6.8092361111111117</v>
      </c>
      <c r="J51" s="14">
        <v>3.9</v>
      </c>
      <c r="K51" s="14">
        <v>-2.5</v>
      </c>
      <c r="L51" s="67">
        <v>0.33284722222222191</v>
      </c>
      <c r="M51" s="73">
        <v>90.2</v>
      </c>
      <c r="N51" s="24">
        <v>39.5</v>
      </c>
      <c r="O51" s="69">
        <v>65.734722222222189</v>
      </c>
      <c r="P51" s="102">
        <v>1011.21106900656</v>
      </c>
      <c r="Q51" s="21">
        <v>1004.07844000425</v>
      </c>
      <c r="R51" s="218">
        <v>1008.4011866135289</v>
      </c>
      <c r="S51" s="61">
        <v>9.2000000073599999</v>
      </c>
      <c r="T51" s="51">
        <v>5.9433333380880002</v>
      </c>
      <c r="U51" s="25">
        <v>2.474157577736908</v>
      </c>
      <c r="V51" s="192" t="s">
        <v>255</v>
      </c>
      <c r="W51" s="195" t="s">
        <v>261</v>
      </c>
      <c r="X51" s="26">
        <v>0</v>
      </c>
      <c r="Y51" s="27">
        <v>0</v>
      </c>
      <c r="Z51" s="28">
        <v>0</v>
      </c>
      <c r="AA51" s="29">
        <v>0</v>
      </c>
      <c r="AB51" s="285" t="s">
        <v>269</v>
      </c>
    </row>
    <row r="52" spans="1:28" s="20" customFormat="1" x14ac:dyDescent="0.3">
      <c r="A52" s="38">
        <v>44611</v>
      </c>
      <c r="B52" s="39">
        <v>5.8</v>
      </c>
      <c r="C52" s="14">
        <v>14.9</v>
      </c>
      <c r="D52" s="14">
        <v>4.0999999999999996</v>
      </c>
      <c r="E52" s="14">
        <v>15.7</v>
      </c>
      <c r="F52" s="14">
        <v>-1.6</v>
      </c>
      <c r="G52" s="65">
        <f t="shared" si="2"/>
        <v>17.3</v>
      </c>
      <c r="H52" s="65">
        <f t="shared" si="3"/>
        <v>7.2249999999999996</v>
      </c>
      <c r="I52" s="67">
        <v>6.6911805555555555</v>
      </c>
      <c r="J52" s="14">
        <v>4.3</v>
      </c>
      <c r="K52" s="14">
        <v>-5.5</v>
      </c>
      <c r="L52" s="67">
        <v>-1.1565277777777772</v>
      </c>
      <c r="M52" s="73">
        <v>75.2</v>
      </c>
      <c r="N52" s="24">
        <v>29.3</v>
      </c>
      <c r="O52" s="69">
        <v>58.95131944444443</v>
      </c>
      <c r="P52" s="102">
        <v>1018.27479703989</v>
      </c>
      <c r="Q52" s="21">
        <v>1004.24126687684</v>
      </c>
      <c r="R52" s="56">
        <v>1010.1909086493827</v>
      </c>
      <c r="S52" s="61">
        <v>11.20000000896</v>
      </c>
      <c r="T52" s="51">
        <v>7.8866666729760002</v>
      </c>
      <c r="U52" s="25">
        <v>2.4084544592910948</v>
      </c>
      <c r="V52" s="192" t="s">
        <v>211</v>
      </c>
      <c r="W52" s="195"/>
      <c r="X52" s="26">
        <v>0</v>
      </c>
      <c r="Y52" s="27">
        <v>0</v>
      </c>
      <c r="Z52" s="28">
        <v>0</v>
      </c>
      <c r="AA52" s="29">
        <v>0</v>
      </c>
      <c r="AB52" s="285" t="s">
        <v>269</v>
      </c>
    </row>
    <row r="53" spans="1:28" s="20" customFormat="1" x14ac:dyDescent="0.3">
      <c r="A53" s="38">
        <v>44612</v>
      </c>
      <c r="B53" s="39">
        <v>-5.5</v>
      </c>
      <c r="C53" s="14">
        <v>9.5</v>
      </c>
      <c r="D53" s="14">
        <v>5.6</v>
      </c>
      <c r="E53" s="14">
        <v>10</v>
      </c>
      <c r="F53" s="14">
        <v>-5.9</v>
      </c>
      <c r="G53" s="65">
        <f t="shared" si="2"/>
        <v>15.9</v>
      </c>
      <c r="H53" s="65">
        <f t="shared" si="3"/>
        <v>3.8</v>
      </c>
      <c r="I53" s="67">
        <v>2.4121527777777811</v>
      </c>
      <c r="J53" s="14">
        <v>2.4</v>
      </c>
      <c r="K53" s="14">
        <v>-7.4</v>
      </c>
      <c r="L53" s="67">
        <v>-1.8934722222222165</v>
      </c>
      <c r="M53" s="73">
        <v>92</v>
      </c>
      <c r="N53" s="24">
        <v>55.6</v>
      </c>
      <c r="O53" s="69">
        <v>74.383402777777761</v>
      </c>
      <c r="P53" s="102">
        <v>1018.455899006</v>
      </c>
      <c r="Q53" s="21">
        <v>1009.59028845083</v>
      </c>
      <c r="R53" s="56">
        <v>1013.8823427593262</v>
      </c>
      <c r="S53" s="61">
        <v>9.5000000076000006</v>
      </c>
      <c r="T53" s="51">
        <v>5.6433333378480004</v>
      </c>
      <c r="U53" s="25">
        <v>1.6740135573789134</v>
      </c>
      <c r="V53" s="192" t="s">
        <v>251</v>
      </c>
      <c r="W53" s="195" t="s">
        <v>261</v>
      </c>
      <c r="X53" s="26">
        <v>0</v>
      </c>
      <c r="Y53" s="27">
        <v>0</v>
      </c>
      <c r="Z53" s="28">
        <v>0</v>
      </c>
      <c r="AA53" s="29">
        <v>0</v>
      </c>
      <c r="AB53" s="285" t="s">
        <v>231</v>
      </c>
    </row>
    <row r="54" spans="1:28" s="20" customFormat="1" x14ac:dyDescent="0.3">
      <c r="A54" s="38">
        <v>44613</v>
      </c>
      <c r="B54" s="39">
        <v>6.1</v>
      </c>
      <c r="C54" s="14">
        <v>5.4</v>
      </c>
      <c r="D54" s="14">
        <v>1.9</v>
      </c>
      <c r="E54" s="14">
        <v>7.1</v>
      </c>
      <c r="F54" s="14">
        <v>1.1000000000000001</v>
      </c>
      <c r="G54" s="65">
        <f t="shared" si="2"/>
        <v>6</v>
      </c>
      <c r="H54" s="65">
        <f t="shared" si="3"/>
        <v>3.8250000000000002</v>
      </c>
      <c r="I54" s="67">
        <v>4.7397916666666537</v>
      </c>
      <c r="J54" s="14">
        <v>3.9</v>
      </c>
      <c r="K54" s="14">
        <v>0.4</v>
      </c>
      <c r="L54" s="67">
        <v>2.2959722222222165</v>
      </c>
      <c r="M54" s="73">
        <v>95.7</v>
      </c>
      <c r="N54" s="24">
        <v>71.3</v>
      </c>
      <c r="O54" s="69">
        <v>84.614166666666733</v>
      </c>
      <c r="P54" s="102">
        <v>1009.7865176824</v>
      </c>
      <c r="Q54" s="21">
        <v>1000.65672146571</v>
      </c>
      <c r="R54" s="56">
        <v>1003.6486705136861</v>
      </c>
      <c r="S54" s="61">
        <v>13.30000001064</v>
      </c>
      <c r="T54" s="51">
        <v>9.0300000072240003</v>
      </c>
      <c r="U54" s="25">
        <v>3.5086710110076664</v>
      </c>
      <c r="V54" s="192" t="s">
        <v>211</v>
      </c>
      <c r="W54" s="195" t="s">
        <v>210</v>
      </c>
      <c r="X54" s="26">
        <v>6</v>
      </c>
      <c r="Y54" s="27">
        <v>1</v>
      </c>
      <c r="Z54" s="28">
        <v>0</v>
      </c>
      <c r="AA54" s="29">
        <v>0</v>
      </c>
      <c r="AB54" s="285" t="s">
        <v>270</v>
      </c>
    </row>
    <row r="55" spans="1:28" s="20" customFormat="1" x14ac:dyDescent="0.3">
      <c r="A55" s="38">
        <v>44614</v>
      </c>
      <c r="B55" s="39">
        <v>1.1000000000000001</v>
      </c>
      <c r="C55" s="14">
        <v>9.3000000000000007</v>
      </c>
      <c r="D55" s="14">
        <v>3.5</v>
      </c>
      <c r="E55" s="14">
        <v>11.1</v>
      </c>
      <c r="F55" s="14">
        <v>0.8</v>
      </c>
      <c r="G55" s="65">
        <f t="shared" si="2"/>
        <v>10.299999999999999</v>
      </c>
      <c r="H55" s="65">
        <f t="shared" si="3"/>
        <v>4.3499999999999996</v>
      </c>
      <c r="I55" s="67">
        <v>3.8622222222222353</v>
      </c>
      <c r="J55" s="14">
        <v>3.7</v>
      </c>
      <c r="K55" s="14">
        <v>-1.9</v>
      </c>
      <c r="L55" s="67">
        <v>0.38972222222222408</v>
      </c>
      <c r="M55" s="73">
        <v>96.3</v>
      </c>
      <c r="N55" s="24">
        <v>51.6</v>
      </c>
      <c r="O55" s="69">
        <v>79.588194444444326</v>
      </c>
      <c r="P55" s="102">
        <v>1017.06327139393</v>
      </c>
      <c r="Q55" s="21">
        <v>1004.16666884833</v>
      </c>
      <c r="R55" s="56">
        <v>1010.4718667541565</v>
      </c>
      <c r="S55" s="61">
        <v>9.2000000073599999</v>
      </c>
      <c r="T55" s="51">
        <v>5.6366666711760001</v>
      </c>
      <c r="U55" s="25">
        <v>1.2825356548814824</v>
      </c>
      <c r="V55" s="192" t="s">
        <v>248</v>
      </c>
      <c r="W55" s="195" t="s">
        <v>210</v>
      </c>
      <c r="X55" s="26">
        <v>6</v>
      </c>
      <c r="Y55" s="27">
        <v>0.8</v>
      </c>
      <c r="Z55" s="28">
        <v>0</v>
      </c>
      <c r="AA55" s="29">
        <v>0</v>
      </c>
      <c r="AB55" s="285" t="s">
        <v>271</v>
      </c>
    </row>
    <row r="56" spans="1:28" s="20" customFormat="1" x14ac:dyDescent="0.3">
      <c r="A56" s="38">
        <v>44615</v>
      </c>
      <c r="B56" s="39">
        <v>-1.1000000000000001</v>
      </c>
      <c r="C56" s="14">
        <v>8</v>
      </c>
      <c r="D56" s="14">
        <v>0.4</v>
      </c>
      <c r="E56" s="14">
        <v>8</v>
      </c>
      <c r="F56" s="14">
        <v>-2.2000000000000002</v>
      </c>
      <c r="G56" s="65">
        <f t="shared" si="2"/>
        <v>10.199999999999999</v>
      </c>
      <c r="H56" s="65">
        <f t="shared" si="3"/>
        <v>1.925</v>
      </c>
      <c r="I56" s="67">
        <v>1.7613194444444373</v>
      </c>
      <c r="J56" s="14">
        <v>5.4</v>
      </c>
      <c r="K56" s="14">
        <v>-3.5</v>
      </c>
      <c r="L56" s="67">
        <v>-0.20694444444444554</v>
      </c>
      <c r="M56" s="73">
        <v>93.3</v>
      </c>
      <c r="N56" s="24">
        <v>66.7</v>
      </c>
      <c r="O56" s="69">
        <v>87.01236111111109</v>
      </c>
      <c r="P56" s="102">
        <v>1025.24086204982</v>
      </c>
      <c r="Q56" s="21">
        <v>1015.87203211254</v>
      </c>
      <c r="R56" s="56">
        <v>1019.7349473299129</v>
      </c>
      <c r="S56" s="61">
        <v>11.20000000896</v>
      </c>
      <c r="T56" s="51">
        <v>5.5800000044639999</v>
      </c>
      <c r="U56" s="25">
        <v>0.92610748076994009</v>
      </c>
      <c r="V56" s="192" t="s">
        <v>214</v>
      </c>
      <c r="W56" s="195"/>
      <c r="X56" s="26">
        <v>0</v>
      </c>
      <c r="Y56" s="27">
        <v>0</v>
      </c>
      <c r="Z56" s="28">
        <v>0</v>
      </c>
      <c r="AA56" s="29">
        <v>0</v>
      </c>
      <c r="AB56" s="285" t="s">
        <v>272</v>
      </c>
    </row>
    <row r="57" spans="1:28" s="20" customFormat="1" x14ac:dyDescent="0.3">
      <c r="A57" s="38">
        <v>44616</v>
      </c>
      <c r="B57" s="39">
        <v>-4</v>
      </c>
      <c r="C57" s="14">
        <v>7.8</v>
      </c>
      <c r="D57" s="14">
        <v>3.6</v>
      </c>
      <c r="E57" s="14">
        <v>9</v>
      </c>
      <c r="F57" s="14">
        <v>-4.4000000000000004</v>
      </c>
      <c r="G57" s="65">
        <f t="shared" si="2"/>
        <v>13.4</v>
      </c>
      <c r="H57" s="65">
        <f t="shared" si="3"/>
        <v>2.75</v>
      </c>
      <c r="I57" s="67">
        <v>2.423680555555551</v>
      </c>
      <c r="J57" s="14">
        <v>2.5</v>
      </c>
      <c r="K57" s="14">
        <v>-5.2</v>
      </c>
      <c r="L57" s="67">
        <v>-0.65999999999999992</v>
      </c>
      <c r="M57" s="73">
        <v>95.7</v>
      </c>
      <c r="N57" s="24">
        <v>57</v>
      </c>
      <c r="O57" s="69">
        <v>81.076527777777613</v>
      </c>
      <c r="P57" s="102">
        <v>1026.9158147999899</v>
      </c>
      <c r="Q57" s="21">
        <v>1018.50879084806</v>
      </c>
      <c r="R57" s="56">
        <v>1023.0223594911739</v>
      </c>
      <c r="S57" s="61">
        <v>11.20000000896</v>
      </c>
      <c r="T57" s="51">
        <v>6.2100000049679993</v>
      </c>
      <c r="U57" s="25">
        <v>2.7207519906075439</v>
      </c>
      <c r="V57" s="192" t="s">
        <v>212</v>
      </c>
      <c r="W57" s="195" t="s">
        <v>261</v>
      </c>
      <c r="X57" s="26">
        <v>0</v>
      </c>
      <c r="Y57" s="27">
        <v>0</v>
      </c>
      <c r="Z57" s="28">
        <v>0</v>
      </c>
      <c r="AA57" s="29">
        <v>0</v>
      </c>
      <c r="AB57" s="285" t="s">
        <v>273</v>
      </c>
    </row>
    <row r="58" spans="1:28" s="20" customFormat="1" x14ac:dyDescent="0.3">
      <c r="A58" s="38">
        <v>44617</v>
      </c>
      <c r="B58" s="39">
        <v>0.3</v>
      </c>
      <c r="C58" s="14">
        <v>3.1</v>
      </c>
      <c r="D58" s="14">
        <v>-2.2000000000000002</v>
      </c>
      <c r="E58" s="14">
        <v>3.8</v>
      </c>
      <c r="F58" s="14">
        <v>-4.4000000000000004</v>
      </c>
      <c r="G58" s="65">
        <f t="shared" si="2"/>
        <v>8.1999999999999993</v>
      </c>
      <c r="H58" s="65">
        <f t="shared" si="3"/>
        <v>-0.25000000000000011</v>
      </c>
      <c r="I58" s="67">
        <v>1.0615972222222205</v>
      </c>
      <c r="J58" s="14">
        <v>1</v>
      </c>
      <c r="K58" s="14">
        <v>-5.3</v>
      </c>
      <c r="L58" s="67">
        <v>-1.2234027777777787</v>
      </c>
      <c r="M58" s="73">
        <v>93.8</v>
      </c>
      <c r="N58" s="24">
        <v>70.8</v>
      </c>
      <c r="O58" s="69">
        <v>84.925138888888782</v>
      </c>
      <c r="P58" s="102">
        <v>1024.51846712771</v>
      </c>
      <c r="Q58" s="21">
        <v>1017.1698330635199</v>
      </c>
      <c r="R58" s="56">
        <v>1019.5999853994135</v>
      </c>
      <c r="S58" s="61">
        <v>6.5000000052000004</v>
      </c>
      <c r="T58" s="51">
        <v>4.5633333369840008</v>
      </c>
      <c r="U58" s="25">
        <v>1.0907123762676638</v>
      </c>
      <c r="V58" s="192" t="s">
        <v>254</v>
      </c>
      <c r="W58" s="195" t="s">
        <v>261</v>
      </c>
      <c r="X58" s="26">
        <v>0</v>
      </c>
      <c r="Y58" s="27">
        <v>0</v>
      </c>
      <c r="Z58" s="28">
        <v>0</v>
      </c>
      <c r="AA58" s="29">
        <v>0</v>
      </c>
      <c r="AB58" s="285" t="s">
        <v>271</v>
      </c>
    </row>
    <row r="59" spans="1:28" s="20" customFormat="1" x14ac:dyDescent="0.3">
      <c r="A59" s="38">
        <v>44618</v>
      </c>
      <c r="B59" s="39">
        <v>-6.8</v>
      </c>
      <c r="C59" s="14">
        <v>9.6999999999999993</v>
      </c>
      <c r="D59" s="14">
        <v>-2.1</v>
      </c>
      <c r="E59" s="14">
        <v>9.8000000000000007</v>
      </c>
      <c r="F59" s="14">
        <v>-6.8</v>
      </c>
      <c r="G59" s="65">
        <f>E59-F59</f>
        <v>16.600000000000001</v>
      </c>
      <c r="H59" s="65">
        <f t="shared" si="3"/>
        <v>-0.32500000000000018</v>
      </c>
      <c r="I59" s="67">
        <v>-0.34881944444443946</v>
      </c>
      <c r="J59" s="14">
        <v>0.7</v>
      </c>
      <c r="K59" s="14">
        <v>-7.8</v>
      </c>
      <c r="L59" s="67">
        <v>-3.8993749999999889</v>
      </c>
      <c r="M59" s="73">
        <v>94.1</v>
      </c>
      <c r="N59" s="24">
        <v>44.4</v>
      </c>
      <c r="O59" s="69">
        <v>79.327638888888828</v>
      </c>
      <c r="P59" s="102">
        <v>1032.8652757862601</v>
      </c>
      <c r="Q59" s="21">
        <v>1024.21105010416</v>
      </c>
      <c r="R59" s="56">
        <v>1028.2281420129857</v>
      </c>
      <c r="S59" s="61">
        <v>8.5000000068000006</v>
      </c>
      <c r="T59" s="51">
        <v>5.0366666706959995</v>
      </c>
      <c r="U59" s="25">
        <v>1.001943037248574</v>
      </c>
      <c r="V59" s="192" t="s">
        <v>213</v>
      </c>
      <c r="W59" s="195"/>
      <c r="X59" s="26">
        <v>0</v>
      </c>
      <c r="Y59" s="27">
        <v>0</v>
      </c>
      <c r="Z59" s="28">
        <v>0</v>
      </c>
      <c r="AA59" s="29">
        <v>0</v>
      </c>
      <c r="AB59" s="285" t="s">
        <v>274</v>
      </c>
    </row>
    <row r="60" spans="1:28" s="20" customFormat="1" x14ac:dyDescent="0.3">
      <c r="A60" s="38">
        <v>44619</v>
      </c>
      <c r="B60" s="39">
        <v>-6</v>
      </c>
      <c r="C60" s="14">
        <v>10.1</v>
      </c>
      <c r="D60" s="14">
        <v>1.4</v>
      </c>
      <c r="E60" s="14">
        <v>11</v>
      </c>
      <c r="F60" s="14">
        <v>-6.7</v>
      </c>
      <c r="G60" s="65">
        <f>E60-F60</f>
        <v>17.7</v>
      </c>
      <c r="H60" s="65">
        <f t="shared" si="3"/>
        <v>1.7249999999999999</v>
      </c>
      <c r="I60" s="67">
        <v>1.4238888888888892</v>
      </c>
      <c r="J60" s="14">
        <v>1.4</v>
      </c>
      <c r="K60" s="14">
        <v>-7.8</v>
      </c>
      <c r="L60" s="67">
        <v>-3.1651388888888921</v>
      </c>
      <c r="M60" s="73">
        <v>95</v>
      </c>
      <c r="N60" s="24">
        <v>39.299999999999997</v>
      </c>
      <c r="O60" s="69">
        <v>74.356527777777657</v>
      </c>
      <c r="P60" s="102">
        <v>1033.81543211546</v>
      </c>
      <c r="Q60" s="21">
        <v>1029.7637593750801</v>
      </c>
      <c r="R60" s="56">
        <v>1031.7900558352896</v>
      </c>
      <c r="S60" s="61">
        <v>10.20000000816</v>
      </c>
      <c r="T60" s="51">
        <v>7.2500000058000014</v>
      </c>
      <c r="U60" s="25">
        <v>1.8125121138531044</v>
      </c>
      <c r="V60" s="192" t="s">
        <v>214</v>
      </c>
      <c r="W60" s="195"/>
      <c r="X60" s="26">
        <v>0</v>
      </c>
      <c r="Y60" s="27">
        <v>0</v>
      </c>
      <c r="Z60" s="28">
        <v>0</v>
      </c>
      <c r="AA60" s="29">
        <v>0</v>
      </c>
      <c r="AB60" s="285" t="s">
        <v>271</v>
      </c>
    </row>
    <row r="61" spans="1:28" s="281" customFormat="1" ht="15" thickBot="1" x14ac:dyDescent="0.35">
      <c r="A61" s="38">
        <v>44620</v>
      </c>
      <c r="B61" s="40">
        <v>-1.3</v>
      </c>
      <c r="C61" s="22">
        <v>4.5</v>
      </c>
      <c r="D61" s="22">
        <v>0.3</v>
      </c>
      <c r="E61" s="22">
        <v>6.8</v>
      </c>
      <c r="F61" s="22">
        <v>-1.8</v>
      </c>
      <c r="G61" s="371">
        <f>E61-F61</f>
        <v>8.6</v>
      </c>
      <c r="H61" s="280">
        <f t="shared" si="3"/>
        <v>0.95000000000000007</v>
      </c>
      <c r="I61" s="68">
        <v>1.1951388888888905</v>
      </c>
      <c r="J61" s="22">
        <v>-0.5</v>
      </c>
      <c r="K61" s="22">
        <v>-4.8</v>
      </c>
      <c r="L61" s="68">
        <v>-3.2334722222222183</v>
      </c>
      <c r="M61" s="74">
        <v>82.9</v>
      </c>
      <c r="N61" s="57">
        <v>55</v>
      </c>
      <c r="O61" s="70">
        <v>72.805624999999949</v>
      </c>
      <c r="P61" s="103">
        <v>1035.0003014195099</v>
      </c>
      <c r="Q61" s="58">
        <v>1028.66693348546</v>
      </c>
      <c r="R61" s="59">
        <v>1031.3969186420591</v>
      </c>
      <c r="S61" s="63">
        <v>11.900000009519999</v>
      </c>
      <c r="T61" s="53">
        <v>8.0366666730959988</v>
      </c>
      <c r="U61" s="41">
        <v>2.8003263256630166</v>
      </c>
      <c r="V61" s="196" t="s">
        <v>214</v>
      </c>
      <c r="W61" s="197"/>
      <c r="X61" s="43">
        <v>0</v>
      </c>
      <c r="Y61" s="44">
        <v>0</v>
      </c>
      <c r="Z61" s="45">
        <v>0</v>
      </c>
      <c r="AA61" s="46">
        <v>0</v>
      </c>
      <c r="AB61" s="286" t="s">
        <v>231</v>
      </c>
    </row>
    <row r="62" spans="1:28" s="361" customFormat="1" x14ac:dyDescent="0.3">
      <c r="A62" s="38">
        <v>44621</v>
      </c>
      <c r="B62" s="344">
        <v>-5.2</v>
      </c>
      <c r="C62" s="345">
        <v>4.9000000000000004</v>
      </c>
      <c r="D62" s="345">
        <v>1</v>
      </c>
      <c r="E62" s="345">
        <v>3.1</v>
      </c>
      <c r="F62" s="345">
        <v>-4.5</v>
      </c>
      <c r="G62" s="346">
        <f>E62-F62</f>
        <v>7.6</v>
      </c>
      <c r="H62" s="346">
        <f>(B62+C62+2*D62)/4</f>
        <v>0.42500000000000004</v>
      </c>
      <c r="I62" s="347">
        <v>1.6</v>
      </c>
      <c r="J62" s="345">
        <v>-3.1514879298449201</v>
      </c>
      <c r="K62" s="345">
        <v>-11.318928703453199</v>
      </c>
      <c r="L62" s="347">
        <v>-7.2231195439205713</v>
      </c>
      <c r="M62" s="348">
        <v>71</v>
      </c>
      <c r="N62" s="349">
        <v>42</v>
      </c>
      <c r="O62" s="350">
        <v>52.773445092322646</v>
      </c>
      <c r="P62" s="351">
        <v>1034.7497266343</v>
      </c>
      <c r="Q62" s="352">
        <v>1027.4312670880699</v>
      </c>
      <c r="R62" s="353">
        <v>1031.3176554376116</v>
      </c>
      <c r="S62" s="317">
        <v>10.500000008400001</v>
      </c>
      <c r="T62" s="318">
        <v>7.3566666725520005</v>
      </c>
      <c r="U62" s="318">
        <v>2.0594023340090324</v>
      </c>
      <c r="V62" s="319" t="s">
        <v>214</v>
      </c>
      <c r="W62" s="372"/>
      <c r="X62" s="356">
        <v>0</v>
      </c>
      <c r="Y62" s="357">
        <v>0</v>
      </c>
      <c r="Z62" s="358">
        <v>0</v>
      </c>
      <c r="AA62" s="359">
        <v>0</v>
      </c>
      <c r="AB62" s="360" t="s">
        <v>269</v>
      </c>
    </row>
    <row r="63" spans="1:28" s="20" customFormat="1" x14ac:dyDescent="0.3">
      <c r="A63" s="38">
        <v>44622</v>
      </c>
      <c r="B63" s="39">
        <v>-4.8</v>
      </c>
      <c r="C63" s="14">
        <v>7.3</v>
      </c>
      <c r="D63" s="14">
        <v>1.2</v>
      </c>
      <c r="E63" s="14">
        <v>8.9</v>
      </c>
      <c r="F63" s="14">
        <v>-4.9000000000000004</v>
      </c>
      <c r="G63" s="65">
        <f t="shared" ref="G63:G86" si="4">E63-F63</f>
        <v>13.8</v>
      </c>
      <c r="H63" s="65">
        <f t="shared" ref="H63:H90" si="5">(B63+C63+2*D63)/4</f>
        <v>1.2250000000000001</v>
      </c>
      <c r="I63" s="67">
        <v>1.2538194444444417</v>
      </c>
      <c r="J63" s="14">
        <v>0.1</v>
      </c>
      <c r="K63" s="14">
        <v>-7.3</v>
      </c>
      <c r="L63" s="67">
        <v>-4.1559027777777837</v>
      </c>
      <c r="M63" s="73">
        <v>86.4</v>
      </c>
      <c r="N63" s="24">
        <v>49.5</v>
      </c>
      <c r="O63" s="69">
        <v>68.114722222222085</v>
      </c>
      <c r="P63" s="102">
        <v>1027.6722897171201</v>
      </c>
      <c r="Q63" s="21">
        <v>1018.96015011194</v>
      </c>
      <c r="R63" s="56">
        <v>1022.74303601153</v>
      </c>
      <c r="S63" s="61">
        <v>9.2000000073599999</v>
      </c>
      <c r="T63" s="51">
        <v>5.8566666713519995</v>
      </c>
      <c r="U63" s="25">
        <v>1.8045993720561149</v>
      </c>
      <c r="V63" s="192" t="s">
        <v>215</v>
      </c>
      <c r="W63" s="219"/>
      <c r="X63" s="16">
        <v>0</v>
      </c>
      <c r="Y63" s="17">
        <v>0</v>
      </c>
      <c r="Z63" s="18">
        <v>0</v>
      </c>
      <c r="AA63" s="42">
        <v>0</v>
      </c>
      <c r="AB63" s="284" t="s">
        <v>271</v>
      </c>
    </row>
    <row r="64" spans="1:28" s="20" customFormat="1" x14ac:dyDescent="0.3">
      <c r="A64" s="38">
        <v>44623</v>
      </c>
      <c r="B64" s="39">
        <v>-0.6</v>
      </c>
      <c r="C64" s="14">
        <v>8.6</v>
      </c>
      <c r="D64" s="14">
        <v>-0.3</v>
      </c>
      <c r="E64" s="14">
        <v>9.1999999999999993</v>
      </c>
      <c r="F64" s="14">
        <v>-4.0999999999999996</v>
      </c>
      <c r="G64" s="65">
        <f t="shared" si="4"/>
        <v>13.299999999999999</v>
      </c>
      <c r="H64" s="65">
        <f t="shared" si="5"/>
        <v>1.85</v>
      </c>
      <c r="I64" s="67">
        <v>2.5190277777777768</v>
      </c>
      <c r="J64" s="14">
        <v>-1.5</v>
      </c>
      <c r="K64" s="14">
        <v>-7.4</v>
      </c>
      <c r="L64" s="67">
        <v>-4.1766666666666605</v>
      </c>
      <c r="M64" s="73">
        <v>78.8</v>
      </c>
      <c r="N64" s="24">
        <v>42.9</v>
      </c>
      <c r="O64" s="69">
        <v>62.336736111111179</v>
      </c>
      <c r="P64" s="102">
        <v>1019.18281647683</v>
      </c>
      <c r="Q64" s="21">
        <v>1013.8393246297099</v>
      </c>
      <c r="R64" s="56">
        <v>1015.9580190903291</v>
      </c>
      <c r="S64" s="61">
        <v>7.8000000062400003</v>
      </c>
      <c r="T64" s="51">
        <v>5.3166666709200001</v>
      </c>
      <c r="U64" s="25">
        <v>1.5799467840409258</v>
      </c>
      <c r="V64" s="192" t="s">
        <v>250</v>
      </c>
      <c r="W64" s="219"/>
      <c r="X64" s="16">
        <v>0</v>
      </c>
      <c r="Y64" s="17">
        <v>0</v>
      </c>
      <c r="Z64" s="18">
        <v>0</v>
      </c>
      <c r="AA64" s="42">
        <v>0</v>
      </c>
      <c r="AB64" s="284" t="s">
        <v>271</v>
      </c>
    </row>
    <row r="65" spans="1:28" s="20" customFormat="1" x14ac:dyDescent="0.3">
      <c r="A65" s="38">
        <v>44624</v>
      </c>
      <c r="B65" s="39">
        <v>-0.3</v>
      </c>
      <c r="C65" s="14">
        <v>1.8</v>
      </c>
      <c r="D65" s="14">
        <v>0</v>
      </c>
      <c r="E65" s="14">
        <v>2.1</v>
      </c>
      <c r="F65" s="14">
        <v>-4.4000000000000004</v>
      </c>
      <c r="G65" s="65">
        <f t="shared" si="4"/>
        <v>6.5</v>
      </c>
      <c r="H65" s="65">
        <f t="shared" si="5"/>
        <v>0.375</v>
      </c>
      <c r="I65" s="67">
        <v>-7.6388888889012546E-4</v>
      </c>
      <c r="J65" s="14">
        <v>-2.2999999999999998</v>
      </c>
      <c r="K65" s="14">
        <v>-7.4</v>
      </c>
      <c r="L65" s="67">
        <v>-3.7179861111110997</v>
      </c>
      <c r="M65" s="73">
        <v>84.5</v>
      </c>
      <c r="N65" s="24">
        <v>64.3</v>
      </c>
      <c r="O65" s="69">
        <v>76.186944444444478</v>
      </c>
      <c r="P65" s="102">
        <v>1019.20957936278</v>
      </c>
      <c r="Q65" s="21">
        <v>1015.33669751431</v>
      </c>
      <c r="R65" s="56">
        <v>1017.5584722742891</v>
      </c>
      <c r="S65" s="62">
        <v>5.8000000046400002</v>
      </c>
      <c r="T65" s="52">
        <v>3.5366666694960003</v>
      </c>
      <c r="U65" s="19">
        <v>1.2974219327735925</v>
      </c>
      <c r="V65" s="192" t="s">
        <v>215</v>
      </c>
      <c r="W65" s="220" t="s">
        <v>227</v>
      </c>
      <c r="X65" s="16">
        <v>0</v>
      </c>
      <c r="Y65" s="17">
        <v>0</v>
      </c>
      <c r="Z65" s="18">
        <v>0</v>
      </c>
      <c r="AA65" s="42">
        <v>0</v>
      </c>
      <c r="AB65" s="284" t="s">
        <v>226</v>
      </c>
    </row>
    <row r="66" spans="1:28" s="20" customFormat="1" x14ac:dyDescent="0.3">
      <c r="A66" s="38">
        <v>44625</v>
      </c>
      <c r="B66" s="39">
        <v>-0.8</v>
      </c>
      <c r="C66" s="14">
        <v>2.7</v>
      </c>
      <c r="D66" s="14">
        <v>0.2</v>
      </c>
      <c r="E66" s="14">
        <v>4.0999999999999996</v>
      </c>
      <c r="F66" s="14">
        <v>-2.7</v>
      </c>
      <c r="G66" s="65">
        <f t="shared" si="4"/>
        <v>6.8</v>
      </c>
      <c r="H66" s="65">
        <f t="shared" si="5"/>
        <v>0.57500000000000007</v>
      </c>
      <c r="I66" s="67">
        <v>0.61055555555555141</v>
      </c>
      <c r="J66" s="14">
        <v>-0.6</v>
      </c>
      <c r="K66" s="14">
        <v>-4.9000000000000004</v>
      </c>
      <c r="L66" s="67">
        <v>-3.2146527777777658</v>
      </c>
      <c r="M66" s="73">
        <v>89.7</v>
      </c>
      <c r="N66" s="24">
        <v>60.9</v>
      </c>
      <c r="O66" s="69">
        <v>76.043958333333279</v>
      </c>
      <c r="P66" s="102">
        <v>1022.76788166042</v>
      </c>
      <c r="Q66" s="21">
        <v>1018.5193508132299</v>
      </c>
      <c r="R66" s="56">
        <v>1020.7210004568801</v>
      </c>
      <c r="S66" s="61">
        <v>6.8000000054400003</v>
      </c>
      <c r="T66" s="51">
        <v>4.3700000034959992</v>
      </c>
      <c r="U66" s="25">
        <v>1.4249212132611457</v>
      </c>
      <c r="V66" s="192" t="s">
        <v>214</v>
      </c>
      <c r="W66" s="220"/>
      <c r="X66" s="16">
        <v>0</v>
      </c>
      <c r="Y66" s="17">
        <v>0</v>
      </c>
      <c r="Z66" s="18">
        <v>0</v>
      </c>
      <c r="AA66" s="42">
        <v>0</v>
      </c>
      <c r="AB66" s="284" t="s">
        <v>226</v>
      </c>
    </row>
    <row r="67" spans="1:28" s="20" customFormat="1" x14ac:dyDescent="0.3">
      <c r="A67" s="38">
        <v>44626</v>
      </c>
      <c r="B67" s="39">
        <v>-0.6</v>
      </c>
      <c r="C67" s="14">
        <v>6.6</v>
      </c>
      <c r="D67" s="14">
        <v>-0.6</v>
      </c>
      <c r="E67" s="14">
        <v>8.9</v>
      </c>
      <c r="F67" s="14">
        <v>-1.5</v>
      </c>
      <c r="G67" s="65">
        <f t="shared" si="4"/>
        <v>10.4</v>
      </c>
      <c r="H67" s="65">
        <f t="shared" si="5"/>
        <v>1.2</v>
      </c>
      <c r="I67" s="67">
        <v>2.0502083333333347</v>
      </c>
      <c r="J67" s="14">
        <v>-1</v>
      </c>
      <c r="K67" s="14">
        <v>-6</v>
      </c>
      <c r="L67" s="67">
        <v>-4.2927777777777703</v>
      </c>
      <c r="M67" s="73">
        <v>72.7</v>
      </c>
      <c r="N67" s="24">
        <v>46.5</v>
      </c>
      <c r="O67" s="69">
        <v>63.484722222222302</v>
      </c>
      <c r="P67" s="102">
        <v>1022.2825730694</v>
      </c>
      <c r="Q67" s="21">
        <v>1018.05397586079</v>
      </c>
      <c r="R67" s="56">
        <v>1020.2823551296412</v>
      </c>
      <c r="S67" s="61">
        <v>7.5000000059999996</v>
      </c>
      <c r="T67" s="51">
        <v>4.4700000035760006</v>
      </c>
      <c r="U67" s="25">
        <v>1.9302272193348526</v>
      </c>
      <c r="V67" s="192" t="s">
        <v>214</v>
      </c>
      <c r="W67" s="220"/>
      <c r="X67" s="16">
        <v>0</v>
      </c>
      <c r="Y67" s="17">
        <v>0</v>
      </c>
      <c r="Z67" s="18">
        <v>0</v>
      </c>
      <c r="AA67" s="42">
        <v>0</v>
      </c>
      <c r="AB67" s="284" t="s">
        <v>231</v>
      </c>
    </row>
    <row r="68" spans="1:28" s="20" customFormat="1" x14ac:dyDescent="0.3">
      <c r="A68" s="38">
        <v>44627</v>
      </c>
      <c r="B68" s="39">
        <v>-1.8</v>
      </c>
      <c r="C68" s="14">
        <v>1.1000000000000001</v>
      </c>
      <c r="D68" s="14">
        <v>-0.5</v>
      </c>
      <c r="E68" s="14">
        <v>2.4</v>
      </c>
      <c r="F68" s="14">
        <v>-1.9</v>
      </c>
      <c r="G68" s="65">
        <f t="shared" si="4"/>
        <v>4.3</v>
      </c>
      <c r="H68" s="65">
        <f t="shared" si="5"/>
        <v>-0.42499999999999999</v>
      </c>
      <c r="I68" s="67">
        <v>-0.24138888888888874</v>
      </c>
      <c r="J68" s="14">
        <v>-3.2</v>
      </c>
      <c r="K68" s="14">
        <v>-7.7</v>
      </c>
      <c r="L68" s="67">
        <v>-5.3071527777777909</v>
      </c>
      <c r="M68" s="73">
        <v>83</v>
      </c>
      <c r="N68" s="24">
        <v>53.7</v>
      </c>
      <c r="O68" s="69">
        <v>68.87465277777774</v>
      </c>
      <c r="P68" s="102">
        <v>1020.4745961178</v>
      </c>
      <c r="Q68" s="21">
        <v>1017.99393326026</v>
      </c>
      <c r="R68" s="56">
        <v>1019.2023485765601</v>
      </c>
      <c r="S68" s="61">
        <v>7.5000000059999996</v>
      </c>
      <c r="T68" s="51">
        <v>4.4283333368759994</v>
      </c>
      <c r="U68" s="25">
        <v>2.1727130116343796</v>
      </c>
      <c r="V68" s="192" t="s">
        <v>215</v>
      </c>
      <c r="W68" s="220" t="s">
        <v>227</v>
      </c>
      <c r="X68" s="16">
        <v>0</v>
      </c>
      <c r="Y68" s="17">
        <v>0</v>
      </c>
      <c r="Z68" s="18">
        <v>0</v>
      </c>
      <c r="AA68" s="42">
        <v>0</v>
      </c>
      <c r="AB68" s="284" t="s">
        <v>231</v>
      </c>
    </row>
    <row r="69" spans="1:28" s="20" customFormat="1" x14ac:dyDescent="0.3">
      <c r="A69" s="38">
        <v>44628</v>
      </c>
      <c r="B69" s="39">
        <v>-0.8</v>
      </c>
      <c r="C69" s="14">
        <v>6.2</v>
      </c>
      <c r="D69" s="14">
        <v>1.2</v>
      </c>
      <c r="E69" s="14">
        <v>7</v>
      </c>
      <c r="F69" s="14">
        <v>-1.4</v>
      </c>
      <c r="G69" s="65">
        <f t="shared" si="4"/>
        <v>8.4</v>
      </c>
      <c r="H69" s="65">
        <f t="shared" si="5"/>
        <v>1.9500000000000002</v>
      </c>
      <c r="I69" s="67">
        <v>1.7619444444444505</v>
      </c>
      <c r="J69" s="14">
        <v>0</v>
      </c>
      <c r="K69" s="14">
        <v>-4.7</v>
      </c>
      <c r="L69" s="67">
        <v>-2.8300000000000054</v>
      </c>
      <c r="M69" s="73">
        <v>92.4</v>
      </c>
      <c r="N69" s="24">
        <v>48</v>
      </c>
      <c r="O69" s="69">
        <v>72.883333333333184</v>
      </c>
      <c r="P69" s="102">
        <v>1022.15329905752</v>
      </c>
      <c r="Q69" s="21">
        <v>1019.47713589163</v>
      </c>
      <c r="R69" s="56">
        <v>1020.6224742849529</v>
      </c>
      <c r="S69" s="61">
        <v>9.9000000079199992</v>
      </c>
      <c r="T69" s="51">
        <v>5.1900000041519991</v>
      </c>
      <c r="U69" s="25">
        <v>2.1907069988371108</v>
      </c>
      <c r="V69" s="192" t="s">
        <v>215</v>
      </c>
      <c r="W69" s="220" t="s">
        <v>232</v>
      </c>
      <c r="X69" s="16">
        <v>6</v>
      </c>
      <c r="Y69" s="17">
        <v>3</v>
      </c>
      <c r="Z69" s="18">
        <v>0</v>
      </c>
      <c r="AA69" s="42">
        <v>0</v>
      </c>
      <c r="AB69" s="284" t="s">
        <v>275</v>
      </c>
    </row>
    <row r="70" spans="1:28" s="20" customFormat="1" x14ac:dyDescent="0.3">
      <c r="A70" s="38">
        <v>44629</v>
      </c>
      <c r="B70" s="39">
        <v>-0.5</v>
      </c>
      <c r="C70" s="14">
        <v>2.7</v>
      </c>
      <c r="D70" s="14">
        <v>0.7</v>
      </c>
      <c r="E70" s="14">
        <v>4.5999999999999996</v>
      </c>
      <c r="F70" s="14">
        <v>-0.7</v>
      </c>
      <c r="G70" s="65">
        <f t="shared" si="4"/>
        <v>5.3</v>
      </c>
      <c r="H70" s="65">
        <f t="shared" si="5"/>
        <v>0.9</v>
      </c>
      <c r="I70" s="67">
        <v>1.0018750000000007</v>
      </c>
      <c r="J70" s="14">
        <v>2</v>
      </c>
      <c r="K70" s="14">
        <v>-4.5</v>
      </c>
      <c r="L70" s="67">
        <v>-0.75722222222222257</v>
      </c>
      <c r="M70" s="73">
        <v>94.7</v>
      </c>
      <c r="N70" s="24">
        <v>69.7</v>
      </c>
      <c r="O70" s="69">
        <v>88.179861111111038</v>
      </c>
      <c r="P70" s="102">
        <v>1024.79496335982</v>
      </c>
      <c r="Q70" s="21">
        <v>1020.16905365562</v>
      </c>
      <c r="R70" s="56">
        <v>1021.5908753302831</v>
      </c>
      <c r="S70" s="61">
        <v>7.5000000059999996</v>
      </c>
      <c r="T70" s="51">
        <v>4.1100000032879995</v>
      </c>
      <c r="U70" s="25">
        <v>0.8025557176963124</v>
      </c>
      <c r="V70" s="192" t="s">
        <v>215</v>
      </c>
      <c r="W70" s="220" t="s">
        <v>232</v>
      </c>
      <c r="X70" s="16">
        <v>6</v>
      </c>
      <c r="Y70" s="17">
        <v>2.8</v>
      </c>
      <c r="Z70" s="18">
        <v>5</v>
      </c>
      <c r="AA70" s="42">
        <v>5</v>
      </c>
      <c r="AB70" s="284" t="s">
        <v>242</v>
      </c>
    </row>
    <row r="71" spans="1:28" s="20" customFormat="1" x14ac:dyDescent="0.3">
      <c r="A71" s="38">
        <v>44630</v>
      </c>
      <c r="B71" s="39">
        <v>-3.5</v>
      </c>
      <c r="C71" s="14">
        <v>0.3</v>
      </c>
      <c r="D71" s="14">
        <v>-3.7</v>
      </c>
      <c r="E71" s="14">
        <v>1.6</v>
      </c>
      <c r="F71" s="14">
        <v>-7</v>
      </c>
      <c r="G71" s="65">
        <f t="shared" si="4"/>
        <v>8.6</v>
      </c>
      <c r="H71" s="65">
        <f t="shared" si="5"/>
        <v>-2.6500000000000004</v>
      </c>
      <c r="I71" s="67">
        <v>-1.8299305555555614</v>
      </c>
      <c r="J71" s="14">
        <v>-1.9</v>
      </c>
      <c r="K71" s="14">
        <v>-10.199999999999999</v>
      </c>
      <c r="L71" s="67">
        <v>-6.1986805555555584</v>
      </c>
      <c r="M71" s="73">
        <v>88.8</v>
      </c>
      <c r="N71" s="24">
        <v>57.8</v>
      </c>
      <c r="O71" s="69">
        <v>72.456736111110999</v>
      </c>
      <c r="P71" s="102">
        <v>1035.0114088559701</v>
      </c>
      <c r="Q71" s="21">
        <v>1024.83813235247</v>
      </c>
      <c r="R71" s="56">
        <v>1031.0182763813109</v>
      </c>
      <c r="S71" s="61">
        <v>9.5000000076000006</v>
      </c>
      <c r="T71" s="51">
        <v>6.1600000049280004</v>
      </c>
      <c r="U71" s="25">
        <v>2.5709912557011081</v>
      </c>
      <c r="V71" s="192" t="s">
        <v>214</v>
      </c>
      <c r="W71" s="220"/>
      <c r="X71" s="16">
        <v>0</v>
      </c>
      <c r="Y71" s="17">
        <v>0</v>
      </c>
      <c r="Z71" s="18">
        <v>0</v>
      </c>
      <c r="AA71" s="42">
        <v>0.5</v>
      </c>
      <c r="AB71" s="284" t="s">
        <v>235</v>
      </c>
    </row>
    <row r="72" spans="1:28" s="20" customFormat="1" x14ac:dyDescent="0.3">
      <c r="A72" s="38">
        <v>44631</v>
      </c>
      <c r="B72" s="39">
        <v>-10.5</v>
      </c>
      <c r="C72" s="14">
        <v>3.9</v>
      </c>
      <c r="D72" s="14">
        <v>-4.4000000000000004</v>
      </c>
      <c r="E72" s="14">
        <v>4.8</v>
      </c>
      <c r="F72" s="14">
        <v>-10.6</v>
      </c>
      <c r="G72" s="65">
        <f t="shared" si="4"/>
        <v>15.399999999999999</v>
      </c>
      <c r="H72" s="65">
        <f t="shared" si="5"/>
        <v>-3.85</v>
      </c>
      <c r="I72" s="67">
        <v>-3.3722916666666611</v>
      </c>
      <c r="J72" s="14">
        <v>-6.1</v>
      </c>
      <c r="K72" s="14">
        <v>-12.6</v>
      </c>
      <c r="L72" s="67">
        <v>-10.318333333333339</v>
      </c>
      <c r="M72" s="73">
        <v>88.9</v>
      </c>
      <c r="N72" s="24">
        <v>31.2</v>
      </c>
      <c r="O72" s="69">
        <v>61.55590277777786</v>
      </c>
      <c r="P72" s="102">
        <v>1036.1016708340401</v>
      </c>
      <c r="Q72" s="21">
        <v>1032.45969225771</v>
      </c>
      <c r="R72" s="56">
        <v>1034.3717515243663</v>
      </c>
      <c r="S72" s="61">
        <v>10.500000008400001</v>
      </c>
      <c r="T72" s="51">
        <v>6.3250000050599997</v>
      </c>
      <c r="U72" s="25">
        <v>1.924842540299555</v>
      </c>
      <c r="V72" s="192" t="s">
        <v>214</v>
      </c>
      <c r="W72" s="220"/>
      <c r="X72" s="16">
        <v>0</v>
      </c>
      <c r="Y72" s="17">
        <v>0</v>
      </c>
      <c r="Z72" s="18">
        <v>0</v>
      </c>
      <c r="AA72" s="42">
        <v>0.3</v>
      </c>
      <c r="AB72" s="284" t="s">
        <v>276</v>
      </c>
    </row>
    <row r="73" spans="1:28" s="20" customFormat="1" x14ac:dyDescent="0.3">
      <c r="A73" s="38">
        <v>44632</v>
      </c>
      <c r="B73" s="39">
        <v>-11</v>
      </c>
      <c r="C73" s="14">
        <v>6.5</v>
      </c>
      <c r="D73" s="14">
        <v>-3.4</v>
      </c>
      <c r="E73" s="14">
        <v>9.1</v>
      </c>
      <c r="F73" s="14">
        <v>-11.2</v>
      </c>
      <c r="G73" s="65">
        <f t="shared" si="4"/>
        <v>20.299999999999997</v>
      </c>
      <c r="H73" s="65">
        <f t="shared" si="5"/>
        <v>-2.8250000000000002</v>
      </c>
      <c r="I73" s="67">
        <v>-2.4641949152542422</v>
      </c>
      <c r="J73" s="14">
        <v>-4.8</v>
      </c>
      <c r="K73" s="14">
        <v>-13</v>
      </c>
      <c r="L73" s="67">
        <v>-9.2052966101695066</v>
      </c>
      <c r="M73" s="73">
        <v>90.1</v>
      </c>
      <c r="N73" s="24">
        <v>24</v>
      </c>
      <c r="O73" s="69">
        <v>63.836299435028238</v>
      </c>
      <c r="P73" s="102">
        <v>1035.0521201613101</v>
      </c>
      <c r="Q73" s="21">
        <v>1028.72026416329</v>
      </c>
      <c r="R73" s="56">
        <v>1031.9615864868849</v>
      </c>
      <c r="S73" s="61">
        <v>3.70000000296</v>
      </c>
      <c r="T73" s="51">
        <v>2.8166666689199995</v>
      </c>
      <c r="U73" s="25">
        <v>0.79365482296995482</v>
      </c>
      <c r="V73" s="192" t="s">
        <v>248</v>
      </c>
      <c r="W73" s="220"/>
      <c r="X73" s="16">
        <v>0</v>
      </c>
      <c r="Y73" s="17">
        <v>0</v>
      </c>
      <c r="Z73" s="18">
        <v>0</v>
      </c>
      <c r="AA73" s="42">
        <v>0</v>
      </c>
      <c r="AB73" s="284" t="s">
        <v>277</v>
      </c>
    </row>
    <row r="74" spans="1:28" s="20" customFormat="1" x14ac:dyDescent="0.3">
      <c r="A74" s="38">
        <v>44633</v>
      </c>
      <c r="B74" s="39">
        <v>-3.3</v>
      </c>
      <c r="C74" s="14">
        <v>9.9</v>
      </c>
      <c r="D74" s="14">
        <v>-1.6</v>
      </c>
      <c r="E74" s="14">
        <v>12.2</v>
      </c>
      <c r="F74" s="14">
        <v>-5</v>
      </c>
      <c r="G74" s="65">
        <f t="shared" si="4"/>
        <v>17.2</v>
      </c>
      <c r="H74" s="65">
        <f t="shared" si="5"/>
        <v>0.85000000000000009</v>
      </c>
      <c r="I74" s="67">
        <v>1.6293055555555545</v>
      </c>
      <c r="J74" s="14">
        <v>-1.9</v>
      </c>
      <c r="K74" s="14">
        <v>-7.3</v>
      </c>
      <c r="L74" s="67">
        <v>-5.2141666666666584</v>
      </c>
      <c r="M74" s="73">
        <v>84.2</v>
      </c>
      <c r="N74" s="24">
        <v>33.1</v>
      </c>
      <c r="O74" s="69">
        <v>63.73020833333333</v>
      </c>
      <c r="P74" s="102">
        <v>1030.9091001951899</v>
      </c>
      <c r="Q74" s="21">
        <v>1025.20789907021</v>
      </c>
      <c r="R74" s="56">
        <v>1027.6321392838445</v>
      </c>
      <c r="S74" s="61">
        <v>4.4000000035199998</v>
      </c>
      <c r="T74" s="51">
        <v>2.630000002104</v>
      </c>
      <c r="U74" s="25">
        <v>0.72388888946799523</v>
      </c>
      <c r="V74" s="192" t="s">
        <v>213</v>
      </c>
      <c r="W74" s="221"/>
      <c r="X74" s="26">
        <v>0</v>
      </c>
      <c r="Y74" s="27">
        <v>0</v>
      </c>
      <c r="Z74" s="28">
        <v>0</v>
      </c>
      <c r="AA74" s="29">
        <v>0</v>
      </c>
      <c r="AB74" s="285" t="s">
        <v>266</v>
      </c>
    </row>
    <row r="75" spans="1:28" s="20" customFormat="1" x14ac:dyDescent="0.3">
      <c r="A75" s="38">
        <v>44634</v>
      </c>
      <c r="B75" s="39">
        <v>-8</v>
      </c>
      <c r="C75" s="14">
        <v>11.7</v>
      </c>
      <c r="D75" s="14">
        <v>-1</v>
      </c>
      <c r="E75" s="14">
        <v>12.1</v>
      </c>
      <c r="F75" s="14">
        <v>-8.3000000000000007</v>
      </c>
      <c r="G75" s="65">
        <f t="shared" si="4"/>
        <v>20.399999999999999</v>
      </c>
      <c r="H75" s="65">
        <f t="shared" si="5"/>
        <v>0.42499999999999982</v>
      </c>
      <c r="I75" s="67">
        <v>1.3725000000000007</v>
      </c>
      <c r="J75" s="14">
        <v>-1.6</v>
      </c>
      <c r="K75" s="14">
        <v>-9.8000000000000007</v>
      </c>
      <c r="L75" s="67">
        <v>-6.2672916666666625</v>
      </c>
      <c r="M75" s="73">
        <v>92.1</v>
      </c>
      <c r="N75" s="24">
        <v>29.6</v>
      </c>
      <c r="O75" s="69">
        <v>62.240416666666661</v>
      </c>
      <c r="P75" s="102">
        <v>1035.24066770063</v>
      </c>
      <c r="Q75" s="21">
        <v>1030.6484226115001</v>
      </c>
      <c r="R75" s="56">
        <v>1032.5779502617397</v>
      </c>
      <c r="S75" s="61">
        <v>8.8000000070399995</v>
      </c>
      <c r="T75" s="51">
        <v>5.6200000044959992</v>
      </c>
      <c r="U75" s="25">
        <v>1.7726060620241413</v>
      </c>
      <c r="V75" s="192" t="s">
        <v>251</v>
      </c>
      <c r="W75" s="221"/>
      <c r="X75" s="26">
        <v>0</v>
      </c>
      <c r="Y75" s="27">
        <v>0</v>
      </c>
      <c r="Z75" s="28">
        <v>0</v>
      </c>
      <c r="AA75" s="29">
        <v>0</v>
      </c>
      <c r="AB75" s="285" t="s">
        <v>222</v>
      </c>
    </row>
    <row r="76" spans="1:28" s="20" customFormat="1" x14ac:dyDescent="0.3">
      <c r="A76" s="38">
        <v>44635</v>
      </c>
      <c r="B76" s="39">
        <v>-6.6</v>
      </c>
      <c r="C76" s="14">
        <v>12.8</v>
      </c>
      <c r="D76" s="14">
        <v>5</v>
      </c>
      <c r="E76" s="14">
        <v>13.6</v>
      </c>
      <c r="F76" s="14">
        <v>-7</v>
      </c>
      <c r="G76" s="65">
        <f t="shared" si="4"/>
        <v>20.6</v>
      </c>
      <c r="H76" s="65">
        <f t="shared" si="5"/>
        <v>4.0500000000000007</v>
      </c>
      <c r="I76" s="67">
        <v>3.7594444444444433</v>
      </c>
      <c r="J76" s="14">
        <v>-0.1</v>
      </c>
      <c r="K76" s="14">
        <v>-8.9</v>
      </c>
      <c r="L76" s="67">
        <v>-4.1765972222222212</v>
      </c>
      <c r="M76" s="73">
        <v>89.2</v>
      </c>
      <c r="N76" s="24">
        <v>35.299999999999997</v>
      </c>
      <c r="O76" s="69">
        <v>59.722013888888995</v>
      </c>
      <c r="P76" s="102">
        <v>1035.8027621733399</v>
      </c>
      <c r="Q76" s="21">
        <v>1024.3928755284501</v>
      </c>
      <c r="R76" s="56">
        <v>1031.1655995332885</v>
      </c>
      <c r="S76" s="61">
        <v>7.5000000059999996</v>
      </c>
      <c r="T76" s="51">
        <v>4.4766666702479991</v>
      </c>
      <c r="U76" s="25">
        <v>1.3317523544325285</v>
      </c>
      <c r="V76" s="192" t="s">
        <v>212</v>
      </c>
      <c r="W76" s="221" t="s">
        <v>240</v>
      </c>
      <c r="X76" s="26">
        <v>6</v>
      </c>
      <c r="Y76" s="27">
        <v>4.0999999999999996</v>
      </c>
      <c r="Z76" s="28">
        <v>0</v>
      </c>
      <c r="AA76" s="29">
        <v>0</v>
      </c>
      <c r="AB76" s="285" t="s">
        <v>269</v>
      </c>
    </row>
    <row r="77" spans="1:28" s="20" customFormat="1" x14ac:dyDescent="0.3">
      <c r="A77" s="38">
        <v>44636</v>
      </c>
      <c r="B77" s="39">
        <v>2.7</v>
      </c>
      <c r="C77" s="14">
        <v>3.5</v>
      </c>
      <c r="D77" s="14">
        <v>-0.6</v>
      </c>
      <c r="E77" s="14">
        <v>6.4</v>
      </c>
      <c r="F77" s="14">
        <v>-1.5</v>
      </c>
      <c r="G77" s="65">
        <f t="shared" si="4"/>
        <v>7.9</v>
      </c>
      <c r="H77" s="65">
        <f t="shared" si="5"/>
        <v>1.25</v>
      </c>
      <c r="I77" s="67">
        <v>2.2338888888888961</v>
      </c>
      <c r="J77" s="14">
        <v>3.6</v>
      </c>
      <c r="K77" s="14">
        <v>-3.8</v>
      </c>
      <c r="L77" s="67">
        <v>-0.34472222222222276</v>
      </c>
      <c r="M77" s="73">
        <v>94.7</v>
      </c>
      <c r="N77" s="24">
        <v>49.9</v>
      </c>
      <c r="O77" s="69">
        <v>84.328680555555465</v>
      </c>
      <c r="P77" s="102">
        <v>1029.2816134576699</v>
      </c>
      <c r="Q77" s="21">
        <v>1021.80321080188</v>
      </c>
      <c r="R77" s="56">
        <v>1024.3915337684339</v>
      </c>
      <c r="S77" s="61">
        <v>5.8000000046400002</v>
      </c>
      <c r="T77" s="51">
        <v>3.8300000030640007</v>
      </c>
      <c r="U77" s="25">
        <v>0.69893255757029771</v>
      </c>
      <c r="V77" s="192" t="s">
        <v>254</v>
      </c>
      <c r="W77" s="221" t="s">
        <v>240</v>
      </c>
      <c r="X77" s="26">
        <v>18</v>
      </c>
      <c r="Y77" s="27">
        <v>11.3</v>
      </c>
      <c r="Z77" s="28">
        <v>2</v>
      </c>
      <c r="AA77" s="29">
        <v>2</v>
      </c>
      <c r="AB77" s="285" t="s">
        <v>278</v>
      </c>
    </row>
    <row r="78" spans="1:28" s="20" customFormat="1" x14ac:dyDescent="0.3">
      <c r="A78" s="38">
        <v>44637</v>
      </c>
      <c r="B78" s="39">
        <v>-4.5</v>
      </c>
      <c r="C78" s="14">
        <v>13.1</v>
      </c>
      <c r="D78" s="14">
        <v>0.9</v>
      </c>
      <c r="E78" s="14">
        <v>13.1</v>
      </c>
      <c r="F78" s="14">
        <v>-4.8</v>
      </c>
      <c r="G78" s="65">
        <f t="shared" si="4"/>
        <v>17.899999999999999</v>
      </c>
      <c r="H78" s="65">
        <f t="shared" si="5"/>
        <v>2.6</v>
      </c>
      <c r="I78" s="67">
        <v>2.733055555555552</v>
      </c>
      <c r="J78" s="14">
        <v>3.3</v>
      </c>
      <c r="K78" s="14">
        <v>-7.8</v>
      </c>
      <c r="L78" s="67">
        <v>-3.200833333333339</v>
      </c>
      <c r="M78" s="73">
        <v>96.6</v>
      </c>
      <c r="N78" s="24">
        <v>36.1</v>
      </c>
      <c r="O78" s="69">
        <v>69.01840277777778</v>
      </c>
      <c r="P78" s="102">
        <v>1037.6905615637399</v>
      </c>
      <c r="Q78" s="21">
        <v>1028.88094508995</v>
      </c>
      <c r="R78" s="56">
        <v>1032.4817351153213</v>
      </c>
      <c r="S78" s="61">
        <v>7.8000000062400003</v>
      </c>
      <c r="T78" s="51">
        <v>4.9233333372720001</v>
      </c>
      <c r="U78" s="25">
        <v>1.4734787890575745</v>
      </c>
      <c r="V78" s="192" t="s">
        <v>215</v>
      </c>
      <c r="W78" s="221"/>
      <c r="X78" s="26">
        <v>0</v>
      </c>
      <c r="Y78" s="27">
        <v>0</v>
      </c>
      <c r="Z78" s="28">
        <v>0</v>
      </c>
      <c r="AA78" s="29">
        <v>0</v>
      </c>
      <c r="AB78" s="285" t="s">
        <v>279</v>
      </c>
    </row>
    <row r="79" spans="1:28" s="20" customFormat="1" x14ac:dyDescent="0.3">
      <c r="A79" s="38">
        <v>44638</v>
      </c>
      <c r="B79" s="39">
        <v>-7.4</v>
      </c>
      <c r="C79" s="14">
        <v>10.1</v>
      </c>
      <c r="D79" s="14">
        <v>-2.2999999999999998</v>
      </c>
      <c r="E79" s="14">
        <v>11.1</v>
      </c>
      <c r="F79" s="14">
        <v>-7.8</v>
      </c>
      <c r="G79" s="65">
        <f t="shared" si="4"/>
        <v>18.899999999999999</v>
      </c>
      <c r="H79" s="65">
        <f t="shared" si="5"/>
        <v>-0.47500000000000009</v>
      </c>
      <c r="I79" s="67">
        <v>0.43548611111111474</v>
      </c>
      <c r="J79" s="14">
        <v>-1.7</v>
      </c>
      <c r="K79" s="14">
        <v>-9.5</v>
      </c>
      <c r="L79" s="67">
        <v>-6.1815277777777675</v>
      </c>
      <c r="M79" s="73">
        <v>91</v>
      </c>
      <c r="N79" s="24">
        <v>31.5</v>
      </c>
      <c r="O79" s="69">
        <v>65.021111111111111</v>
      </c>
      <c r="P79" s="102">
        <v>1041.9213790838901</v>
      </c>
      <c r="Q79" s="21">
        <v>1037.5137020801201</v>
      </c>
      <c r="R79" s="56">
        <v>1040.006174294072</v>
      </c>
      <c r="S79" s="61">
        <v>7.1000000056800001</v>
      </c>
      <c r="T79" s="51">
        <v>4.3733333368320002</v>
      </c>
      <c r="U79" s="25">
        <v>1.123231590045872</v>
      </c>
      <c r="V79" s="192" t="s">
        <v>297</v>
      </c>
      <c r="W79" s="221"/>
      <c r="X79" s="26">
        <v>0</v>
      </c>
      <c r="Y79" s="27">
        <v>0</v>
      </c>
      <c r="Z79" s="28">
        <v>0</v>
      </c>
      <c r="AA79" s="29">
        <v>0</v>
      </c>
      <c r="AB79" s="285" t="s">
        <v>222</v>
      </c>
    </row>
    <row r="80" spans="1:28" s="20" customFormat="1" x14ac:dyDescent="0.3">
      <c r="A80" s="38">
        <v>44639</v>
      </c>
      <c r="B80" s="39">
        <v>-8.1</v>
      </c>
      <c r="C80" s="14">
        <v>11.6</v>
      </c>
      <c r="D80" s="14">
        <v>0.6</v>
      </c>
      <c r="E80" s="14">
        <v>12.7</v>
      </c>
      <c r="F80" s="14">
        <v>-8.6999999999999993</v>
      </c>
      <c r="G80" s="65">
        <f t="shared" si="4"/>
        <v>21.4</v>
      </c>
      <c r="H80" s="65">
        <f t="shared" si="5"/>
        <v>1.175</v>
      </c>
      <c r="I80" s="67">
        <v>1.2068750000000017</v>
      </c>
      <c r="J80" s="14">
        <v>-2</v>
      </c>
      <c r="K80" s="14">
        <v>-10.3</v>
      </c>
      <c r="L80" s="67">
        <v>-7.3668055555555636</v>
      </c>
      <c r="M80" s="73">
        <v>92.3</v>
      </c>
      <c r="N80" s="24">
        <v>23.3</v>
      </c>
      <c r="O80" s="69">
        <v>58.811458333333427</v>
      </c>
      <c r="P80" s="102">
        <v>1043.7455648023999</v>
      </c>
      <c r="Q80" s="21">
        <v>1038.14436720296</v>
      </c>
      <c r="R80" s="56">
        <v>1041.0727739409945</v>
      </c>
      <c r="S80" s="61">
        <v>9.5000000076000006</v>
      </c>
      <c r="T80" s="51">
        <v>6.3633333384240007</v>
      </c>
      <c r="U80" s="25">
        <v>1.6334542828742529</v>
      </c>
      <c r="V80" s="192" t="s">
        <v>213</v>
      </c>
      <c r="W80" s="221"/>
      <c r="X80" s="26">
        <v>0</v>
      </c>
      <c r="Y80" s="27">
        <v>0</v>
      </c>
      <c r="Z80" s="28">
        <v>0</v>
      </c>
      <c r="AA80" s="29">
        <v>0</v>
      </c>
      <c r="AB80" s="285" t="s">
        <v>280</v>
      </c>
    </row>
    <row r="81" spans="1:28" s="20" customFormat="1" x14ac:dyDescent="0.3">
      <c r="A81" s="38">
        <v>44640</v>
      </c>
      <c r="B81" s="39">
        <v>-7</v>
      </c>
      <c r="C81" s="14">
        <v>11.1</v>
      </c>
      <c r="D81" s="14">
        <v>-1.3</v>
      </c>
      <c r="E81" s="14">
        <v>11.8</v>
      </c>
      <c r="F81" s="14">
        <v>-7.9</v>
      </c>
      <c r="G81" s="65">
        <f t="shared" si="4"/>
        <v>19.700000000000003</v>
      </c>
      <c r="H81" s="65">
        <f t="shared" si="5"/>
        <v>0.37499999999999989</v>
      </c>
      <c r="I81" s="67">
        <v>1.0395833333333293</v>
      </c>
      <c r="J81" s="14">
        <v>-2</v>
      </c>
      <c r="K81" s="14">
        <v>-9.9</v>
      </c>
      <c r="L81" s="67">
        <v>-6.6987500000000182</v>
      </c>
      <c r="M81" s="73">
        <v>87.6</v>
      </c>
      <c r="N81" s="24">
        <v>26.3</v>
      </c>
      <c r="O81" s="69">
        <v>60.488402777777772</v>
      </c>
      <c r="P81" s="102">
        <v>1045.8442159318699</v>
      </c>
      <c r="Q81" s="21">
        <v>1040.0882326099099</v>
      </c>
      <c r="R81" s="56">
        <v>1043.0918541417689</v>
      </c>
      <c r="S81" s="61">
        <v>8.8000000070399995</v>
      </c>
      <c r="T81" s="51">
        <v>3.0066666690719996</v>
      </c>
      <c r="U81" s="25">
        <v>0.91529995235295147</v>
      </c>
      <c r="V81" s="192" t="s">
        <v>213</v>
      </c>
      <c r="W81" s="221"/>
      <c r="X81" s="26">
        <v>0</v>
      </c>
      <c r="Y81" s="27">
        <v>0</v>
      </c>
      <c r="Z81" s="28">
        <v>0</v>
      </c>
      <c r="AA81" s="29">
        <v>0</v>
      </c>
      <c r="AB81" s="285" t="s">
        <v>281</v>
      </c>
    </row>
    <row r="82" spans="1:28" s="20" customFormat="1" x14ac:dyDescent="0.3">
      <c r="A82" s="38">
        <v>44641</v>
      </c>
      <c r="B82" s="39">
        <v>-7.3</v>
      </c>
      <c r="C82" s="14">
        <v>16</v>
      </c>
      <c r="D82" s="14">
        <v>1.5</v>
      </c>
      <c r="E82" s="14">
        <v>16.600000000000001</v>
      </c>
      <c r="F82" s="14">
        <v>-8.1</v>
      </c>
      <c r="G82" s="65">
        <f t="shared" si="4"/>
        <v>24.700000000000003</v>
      </c>
      <c r="H82" s="65">
        <f t="shared" si="5"/>
        <v>2.9249999999999998</v>
      </c>
      <c r="I82" s="67">
        <v>3.2142361111111009</v>
      </c>
      <c r="J82" s="14">
        <v>-0.2</v>
      </c>
      <c r="K82" s="14">
        <v>-9.9</v>
      </c>
      <c r="L82" s="67">
        <v>-5.224444444444452</v>
      </c>
      <c r="M82" s="73">
        <v>90.5</v>
      </c>
      <c r="N82" s="24">
        <v>26.9</v>
      </c>
      <c r="O82" s="69">
        <v>59.150972222222258</v>
      </c>
      <c r="P82" s="102">
        <v>1042.57695077572</v>
      </c>
      <c r="Q82" s="21">
        <v>1035.6927747540999</v>
      </c>
      <c r="R82" s="56">
        <v>1039.459772969057</v>
      </c>
      <c r="S82" s="61">
        <v>7.1000000056800001</v>
      </c>
      <c r="T82" s="51">
        <v>4.2666666700800002</v>
      </c>
      <c r="U82" s="25">
        <v>1.0186695808100812</v>
      </c>
      <c r="V82" s="192" t="s">
        <v>213</v>
      </c>
      <c r="W82" s="221"/>
      <c r="X82" s="26">
        <v>0</v>
      </c>
      <c r="Y82" s="27">
        <v>0</v>
      </c>
      <c r="Z82" s="28">
        <v>0</v>
      </c>
      <c r="AA82" s="29">
        <v>0</v>
      </c>
      <c r="AB82" s="285" t="s">
        <v>280</v>
      </c>
    </row>
    <row r="83" spans="1:28" s="20" customFormat="1" x14ac:dyDescent="0.3">
      <c r="A83" s="38">
        <v>44642</v>
      </c>
      <c r="B83" s="39">
        <v>-5.2</v>
      </c>
      <c r="C83" s="14">
        <v>22.2</v>
      </c>
      <c r="D83" s="14">
        <v>5.3</v>
      </c>
      <c r="E83" s="14">
        <v>22.9</v>
      </c>
      <c r="F83" s="14">
        <v>-6.3</v>
      </c>
      <c r="G83" s="65">
        <f t="shared" si="4"/>
        <v>29.2</v>
      </c>
      <c r="H83" s="65">
        <f t="shared" si="5"/>
        <v>6.9</v>
      </c>
      <c r="I83" s="67">
        <v>6.6790277777777751</v>
      </c>
      <c r="J83" s="14">
        <v>3.3</v>
      </c>
      <c r="K83" s="14">
        <v>-8.3000000000000007</v>
      </c>
      <c r="L83" s="67">
        <v>-2.8711805555555494</v>
      </c>
      <c r="M83" s="73">
        <v>88.5</v>
      </c>
      <c r="N83" s="24">
        <v>19.8</v>
      </c>
      <c r="O83" s="69">
        <v>56.93763888888892</v>
      </c>
      <c r="P83" s="102">
        <v>1039.56637454307</v>
      </c>
      <c r="Q83" s="21">
        <v>1032.1230255841399</v>
      </c>
      <c r="R83" s="56">
        <v>1036.2315244699821</v>
      </c>
      <c r="S83" s="61">
        <v>6.8000000054400003</v>
      </c>
      <c r="T83" s="51">
        <v>4.3433333368080005</v>
      </c>
      <c r="U83" s="25">
        <v>0.91084791132148835</v>
      </c>
      <c r="V83" s="192" t="s">
        <v>297</v>
      </c>
      <c r="W83" s="223"/>
      <c r="X83" s="26">
        <v>0</v>
      </c>
      <c r="Y83" s="27">
        <v>0</v>
      </c>
      <c r="Z83" s="28">
        <v>0</v>
      </c>
      <c r="AA83" s="29">
        <v>0</v>
      </c>
      <c r="AB83" s="285" t="s">
        <v>280</v>
      </c>
    </row>
    <row r="84" spans="1:28" s="20" customFormat="1" x14ac:dyDescent="0.3">
      <c r="A84" s="38">
        <v>44643</v>
      </c>
      <c r="B84" s="39">
        <v>-4.3</v>
      </c>
      <c r="C84" s="14">
        <v>22.2</v>
      </c>
      <c r="D84" s="14">
        <v>3.2</v>
      </c>
      <c r="E84" s="14">
        <v>23.2</v>
      </c>
      <c r="F84" s="14">
        <v>-5.7</v>
      </c>
      <c r="G84" s="65">
        <f t="shared" si="4"/>
        <v>28.9</v>
      </c>
      <c r="H84" s="65">
        <f t="shared" si="5"/>
        <v>6.0749999999999993</v>
      </c>
      <c r="I84" s="67">
        <v>6.9429861111111206</v>
      </c>
      <c r="J84" s="14">
        <v>3.5</v>
      </c>
      <c r="K84" s="14">
        <v>-11.5</v>
      </c>
      <c r="L84" s="67">
        <v>-4.8177777777777768</v>
      </c>
      <c r="M84" s="73">
        <v>91.5</v>
      </c>
      <c r="N84" s="24">
        <v>9.1</v>
      </c>
      <c r="O84" s="69">
        <v>53.523680555555593</v>
      </c>
      <c r="P84" s="102">
        <v>1035.34613101536</v>
      </c>
      <c r="Q84" s="21">
        <v>1025.1528693763701</v>
      </c>
      <c r="R84" s="56">
        <v>1030.181795330373</v>
      </c>
      <c r="S84" s="61">
        <v>3.1000000024799998</v>
      </c>
      <c r="T84" s="51">
        <v>2.2000000017599999</v>
      </c>
      <c r="U84" s="25">
        <v>0.64225060878630258</v>
      </c>
      <c r="V84" s="192" t="s">
        <v>297</v>
      </c>
      <c r="W84" s="221"/>
      <c r="X84" s="26">
        <v>0</v>
      </c>
      <c r="Y84" s="27">
        <v>0</v>
      </c>
      <c r="Z84" s="28">
        <v>0</v>
      </c>
      <c r="AA84" s="29">
        <v>0</v>
      </c>
      <c r="AB84" s="285" t="s">
        <v>280</v>
      </c>
    </row>
    <row r="85" spans="1:28" s="20" customFormat="1" x14ac:dyDescent="0.3">
      <c r="A85" s="38">
        <v>44644</v>
      </c>
      <c r="B85" s="39">
        <v>-3.7</v>
      </c>
      <c r="C85" s="14">
        <v>18.100000000000001</v>
      </c>
      <c r="D85" s="14">
        <v>3.3</v>
      </c>
      <c r="E85" s="14">
        <v>18.600000000000001</v>
      </c>
      <c r="F85" s="14">
        <v>-4.9000000000000004</v>
      </c>
      <c r="G85" s="65">
        <f t="shared" si="4"/>
        <v>23.5</v>
      </c>
      <c r="H85" s="65">
        <f t="shared" si="5"/>
        <v>5.25</v>
      </c>
      <c r="I85" s="67">
        <v>6.0109722222222217</v>
      </c>
      <c r="J85" s="14">
        <v>3.4</v>
      </c>
      <c r="K85" s="14">
        <v>-7.5</v>
      </c>
      <c r="L85" s="67">
        <v>-2.5829861111111141</v>
      </c>
      <c r="M85" s="73">
        <v>85.1</v>
      </c>
      <c r="N85" s="24">
        <v>24.1</v>
      </c>
      <c r="O85" s="69">
        <v>58.703125000000064</v>
      </c>
      <c r="P85" s="102">
        <v>1026.7001288023901</v>
      </c>
      <c r="Q85" s="21">
        <v>1022.91549950897</v>
      </c>
      <c r="R85" s="56">
        <v>1024.8446836595945</v>
      </c>
      <c r="S85" s="61">
        <v>9.5000000076000006</v>
      </c>
      <c r="T85" s="51">
        <v>6.4300000051439996</v>
      </c>
      <c r="U85" s="25">
        <v>1.8260848499457076</v>
      </c>
      <c r="V85" s="192" t="s">
        <v>214</v>
      </c>
      <c r="W85" s="221"/>
      <c r="X85" s="26">
        <v>0</v>
      </c>
      <c r="Y85" s="27">
        <v>0</v>
      </c>
      <c r="Z85" s="28">
        <v>0</v>
      </c>
      <c r="AA85" s="29">
        <v>0</v>
      </c>
      <c r="AB85" s="285" t="s">
        <v>280</v>
      </c>
    </row>
    <row r="86" spans="1:28" s="20" customFormat="1" x14ac:dyDescent="0.3">
      <c r="A86" s="38">
        <v>44645</v>
      </c>
      <c r="B86" s="39">
        <v>-1.8</v>
      </c>
      <c r="C86" s="14">
        <v>17.899999999999999</v>
      </c>
      <c r="D86" s="14">
        <v>4.0999999999999996</v>
      </c>
      <c r="E86" s="14">
        <v>19.2</v>
      </c>
      <c r="F86" s="14">
        <v>-3.7</v>
      </c>
      <c r="G86" s="65">
        <f t="shared" si="4"/>
        <v>22.9</v>
      </c>
      <c r="H86" s="65">
        <f t="shared" si="5"/>
        <v>6.0749999999999993</v>
      </c>
      <c r="I86" s="67">
        <v>7.0477083333333299</v>
      </c>
      <c r="J86" s="14">
        <v>5.9</v>
      </c>
      <c r="K86" s="14">
        <v>-5.4</v>
      </c>
      <c r="L86" s="67">
        <v>2.9930555555554815E-2</v>
      </c>
      <c r="M86" s="73">
        <v>91.3</v>
      </c>
      <c r="N86" s="24">
        <v>38.1</v>
      </c>
      <c r="O86" s="69">
        <v>64.784583333333288</v>
      </c>
      <c r="P86" s="102">
        <v>1027.4132352091799</v>
      </c>
      <c r="Q86" s="21">
        <v>1023.44667980687</v>
      </c>
      <c r="R86" s="56">
        <v>1025.300672273996</v>
      </c>
      <c r="S86" s="61">
        <v>9.5000000076000006</v>
      </c>
      <c r="T86" s="51">
        <v>6.1800000049439996</v>
      </c>
      <c r="U86" s="25">
        <v>1.6705981682443327</v>
      </c>
      <c r="V86" s="192" t="s">
        <v>214</v>
      </c>
      <c r="W86" s="221"/>
      <c r="X86" s="26">
        <v>0</v>
      </c>
      <c r="Y86" s="27">
        <v>0</v>
      </c>
      <c r="Z86" s="28">
        <v>0</v>
      </c>
      <c r="AA86" s="29">
        <v>0</v>
      </c>
      <c r="AB86" s="285" t="s">
        <v>222</v>
      </c>
    </row>
    <row r="87" spans="1:28" s="20" customFormat="1" x14ac:dyDescent="0.3">
      <c r="A87" s="38">
        <v>44646</v>
      </c>
      <c r="B87" s="39">
        <v>-2.1</v>
      </c>
      <c r="C87" s="14">
        <v>19.5</v>
      </c>
      <c r="D87" s="14">
        <v>13.2</v>
      </c>
      <c r="E87" s="14">
        <v>21.1</v>
      </c>
      <c r="F87" s="14">
        <v>-3.6</v>
      </c>
      <c r="G87" s="65">
        <f t="shared" ref="G87:G93" si="6">E87-F87</f>
        <v>24.700000000000003</v>
      </c>
      <c r="H87" s="65">
        <f t="shared" si="5"/>
        <v>10.95</v>
      </c>
      <c r="I87" s="67">
        <v>9.333611111111102</v>
      </c>
      <c r="J87" s="14">
        <v>7.8</v>
      </c>
      <c r="K87" s="14">
        <v>-4.9000000000000004</v>
      </c>
      <c r="L87" s="67">
        <v>1.3118749999999979</v>
      </c>
      <c r="M87" s="73">
        <v>93.1</v>
      </c>
      <c r="N87" s="24">
        <v>25.4</v>
      </c>
      <c r="O87" s="69">
        <v>62.678263888888829</v>
      </c>
      <c r="P87" s="102">
        <v>1027.6151852026401</v>
      </c>
      <c r="Q87" s="21">
        <v>1019.77927443366</v>
      </c>
      <c r="R87" s="56">
        <v>1024.1739321018488</v>
      </c>
      <c r="S87" s="61">
        <v>9.9000000079199992</v>
      </c>
      <c r="T87" s="51">
        <v>6.5833333385999993</v>
      </c>
      <c r="U87" s="25">
        <v>1.8685630941279674</v>
      </c>
      <c r="V87" s="192" t="s">
        <v>214</v>
      </c>
      <c r="W87" s="221" t="s">
        <v>261</v>
      </c>
      <c r="X87" s="26">
        <v>0</v>
      </c>
      <c r="Y87" s="27">
        <v>0</v>
      </c>
      <c r="Z87" s="28">
        <v>0</v>
      </c>
      <c r="AA87" s="29">
        <v>0</v>
      </c>
      <c r="AB87" s="285" t="s">
        <v>273</v>
      </c>
    </row>
    <row r="88" spans="1:28" s="20" customFormat="1" x14ac:dyDescent="0.3">
      <c r="A88" s="38">
        <v>44647</v>
      </c>
      <c r="B88" s="39">
        <v>4.3</v>
      </c>
      <c r="C88" s="14">
        <v>13.5</v>
      </c>
      <c r="D88" s="14">
        <v>1.2</v>
      </c>
      <c r="E88" s="14">
        <v>14.4</v>
      </c>
      <c r="F88" s="14">
        <v>-2.2999999999999998</v>
      </c>
      <c r="G88" s="65">
        <f t="shared" si="6"/>
        <v>16.7</v>
      </c>
      <c r="H88" s="65">
        <f t="shared" si="5"/>
        <v>5.05</v>
      </c>
      <c r="I88" s="67">
        <v>7.7</v>
      </c>
      <c r="J88" s="14">
        <v>3.4395922777115202</v>
      </c>
      <c r="K88" s="14">
        <v>-12.708725290571801</v>
      </c>
      <c r="L88" s="67">
        <v>-6.1520440277649673</v>
      </c>
      <c r="M88" s="73">
        <v>70</v>
      </c>
      <c r="N88" s="24">
        <v>15</v>
      </c>
      <c r="O88" s="69">
        <v>40.992743105950645</v>
      </c>
      <c r="P88" s="102">
        <v>1031.38780667375</v>
      </c>
      <c r="Q88" s="21">
        <v>1025.8856305857701</v>
      </c>
      <c r="R88" s="56">
        <v>1029.3203250378797</v>
      </c>
      <c r="S88" s="61">
        <v>10.20000000816</v>
      </c>
      <c r="T88" s="51">
        <v>6.133333338239999</v>
      </c>
      <c r="U88" s="25">
        <v>2.6387397215110884</v>
      </c>
      <c r="V88" s="192" t="s">
        <v>215</v>
      </c>
      <c r="W88" s="221"/>
      <c r="X88" s="26">
        <v>0</v>
      </c>
      <c r="Y88" s="27">
        <v>0</v>
      </c>
      <c r="Z88" s="28">
        <v>0</v>
      </c>
      <c r="AA88" s="29">
        <v>0</v>
      </c>
      <c r="AB88" s="285" t="s">
        <v>266</v>
      </c>
    </row>
    <row r="89" spans="1:28" s="20" customFormat="1" x14ac:dyDescent="0.3">
      <c r="A89" s="38">
        <v>44648</v>
      </c>
      <c r="B89" s="39">
        <v>-3.2</v>
      </c>
      <c r="C89" s="14">
        <v>17.3</v>
      </c>
      <c r="D89" s="14">
        <v>7.1</v>
      </c>
      <c r="E89" s="14">
        <v>18.899999999999999</v>
      </c>
      <c r="F89" s="14">
        <v>-6</v>
      </c>
      <c r="G89" s="65">
        <f t="shared" si="6"/>
        <v>24.9</v>
      </c>
      <c r="H89" s="65">
        <f t="shared" si="5"/>
        <v>7.0750000000000002</v>
      </c>
      <c r="I89" s="67">
        <v>6.4688888888888982</v>
      </c>
      <c r="J89" s="14">
        <v>0.7</v>
      </c>
      <c r="K89" s="14">
        <v>-8.3000000000000007</v>
      </c>
      <c r="L89" s="67">
        <v>-3.1945138888888938</v>
      </c>
      <c r="M89" s="73">
        <v>86.4</v>
      </c>
      <c r="N89" s="24">
        <v>27.3</v>
      </c>
      <c r="O89" s="69">
        <v>55.327361111111131</v>
      </c>
      <c r="P89" s="102">
        <v>1029.8567026508899</v>
      </c>
      <c r="Q89" s="21">
        <v>1014.1426392519199</v>
      </c>
      <c r="R89" s="56">
        <v>1021.6940736224227</v>
      </c>
      <c r="S89" s="61">
        <v>8.8000000070399995</v>
      </c>
      <c r="T89" s="51">
        <v>5.9300000047440014</v>
      </c>
      <c r="U89" s="25">
        <v>1.737596900614881</v>
      </c>
      <c r="V89" s="192" t="s">
        <v>251</v>
      </c>
      <c r="W89" s="221"/>
      <c r="X89" s="26">
        <v>0</v>
      </c>
      <c r="Y89" s="27">
        <v>0</v>
      </c>
      <c r="Z89" s="28">
        <v>0</v>
      </c>
      <c r="AA89" s="29">
        <v>0</v>
      </c>
      <c r="AB89" s="285" t="s">
        <v>222</v>
      </c>
    </row>
    <row r="90" spans="1:28" s="20" customFormat="1" x14ac:dyDescent="0.3">
      <c r="A90" s="38">
        <v>44649</v>
      </c>
      <c r="B90" s="39">
        <v>2.1</v>
      </c>
      <c r="C90" s="14">
        <v>17.7</v>
      </c>
      <c r="D90" s="14">
        <v>8.5</v>
      </c>
      <c r="E90" s="14">
        <v>18.600000000000001</v>
      </c>
      <c r="F90" s="14">
        <v>-2</v>
      </c>
      <c r="G90" s="65">
        <f t="shared" si="6"/>
        <v>20.6</v>
      </c>
      <c r="H90" s="65">
        <f t="shared" si="5"/>
        <v>9.1999999999999993</v>
      </c>
      <c r="I90" s="67">
        <v>8.3500000000000156</v>
      </c>
      <c r="J90" s="14">
        <v>6.5</v>
      </c>
      <c r="K90" s="14">
        <v>-3.8</v>
      </c>
      <c r="L90" s="67">
        <v>1.8795833333333307</v>
      </c>
      <c r="M90" s="73">
        <v>92.1</v>
      </c>
      <c r="N90" s="24">
        <v>40.799999999999997</v>
      </c>
      <c r="O90" s="69">
        <v>66.393958333333259</v>
      </c>
      <c r="P90" s="102">
        <v>1014.2538386387801</v>
      </c>
      <c r="Q90" s="21">
        <v>1003.94255626616</v>
      </c>
      <c r="R90" s="56">
        <v>1008.1829581739324</v>
      </c>
      <c r="S90" s="61">
        <v>9.2000000073599999</v>
      </c>
      <c r="T90" s="51">
        <v>4.9700000039759997</v>
      </c>
      <c r="U90" s="25">
        <v>1.0017283063367948</v>
      </c>
      <c r="V90" s="192" t="s">
        <v>213</v>
      </c>
      <c r="W90" s="221" t="s">
        <v>210</v>
      </c>
      <c r="X90" s="26">
        <v>6</v>
      </c>
      <c r="Y90" s="27">
        <v>0.7</v>
      </c>
      <c r="Z90" s="28">
        <v>0</v>
      </c>
      <c r="AA90" s="29">
        <v>0</v>
      </c>
      <c r="AB90" s="285" t="s">
        <v>271</v>
      </c>
    </row>
    <row r="91" spans="1:28" s="20" customFormat="1" x14ac:dyDescent="0.3">
      <c r="A91" s="38">
        <v>44650</v>
      </c>
      <c r="B91" s="39">
        <v>6</v>
      </c>
      <c r="C91" s="14">
        <v>13.6</v>
      </c>
      <c r="D91" s="14">
        <v>8</v>
      </c>
      <c r="E91" s="14">
        <v>14</v>
      </c>
      <c r="F91" s="14">
        <v>5.6</v>
      </c>
      <c r="G91" s="65">
        <f t="shared" si="6"/>
        <v>8.4</v>
      </c>
      <c r="H91" s="65">
        <f>(B91+C91+2*D91)/4</f>
        <v>8.9</v>
      </c>
      <c r="I91" s="67">
        <v>9.0349999999999913</v>
      </c>
      <c r="J91" s="14">
        <v>9.3000000000000007</v>
      </c>
      <c r="K91" s="14">
        <v>3.4</v>
      </c>
      <c r="L91" s="67">
        <v>6.2922916666666673</v>
      </c>
      <c r="M91" s="73">
        <v>93.9</v>
      </c>
      <c r="N91" s="24">
        <v>66.5</v>
      </c>
      <c r="O91" s="69">
        <v>83.390138888888956</v>
      </c>
      <c r="P91" s="102">
        <v>1005.69145924177</v>
      </c>
      <c r="Q91" s="21">
        <v>998.77279031395506</v>
      </c>
      <c r="R91" s="56">
        <v>1002.9060370354625</v>
      </c>
      <c r="S91" s="61">
        <v>9.5000000076000006</v>
      </c>
      <c r="T91" s="51">
        <v>5.8366666713360003</v>
      </c>
      <c r="U91" s="25">
        <v>0.91566497780228828</v>
      </c>
      <c r="V91" s="192" t="s">
        <v>250</v>
      </c>
      <c r="W91" s="221" t="s">
        <v>210</v>
      </c>
      <c r="X91" s="26">
        <v>6</v>
      </c>
      <c r="Y91" s="27">
        <v>0.1</v>
      </c>
      <c r="Z91" s="28">
        <v>0</v>
      </c>
      <c r="AA91" s="29">
        <v>0</v>
      </c>
      <c r="AB91" s="285" t="s">
        <v>231</v>
      </c>
    </row>
    <row r="92" spans="1:28" s="281" customFormat="1" ht="15" thickBot="1" x14ac:dyDescent="0.35">
      <c r="A92" s="38">
        <v>44651</v>
      </c>
      <c r="B92" s="40">
        <v>9.5</v>
      </c>
      <c r="C92" s="22">
        <v>10.5</v>
      </c>
      <c r="D92" s="22">
        <v>5.7</v>
      </c>
      <c r="E92" s="22">
        <v>12.1</v>
      </c>
      <c r="F92" s="22">
        <v>5.0999999999999996</v>
      </c>
      <c r="G92" s="22">
        <f t="shared" si="6"/>
        <v>7</v>
      </c>
      <c r="H92" s="22">
        <f>(B92+C92+2*D92)/4</f>
        <v>7.85</v>
      </c>
      <c r="I92" s="68">
        <v>9.2366666666666646</v>
      </c>
      <c r="J92" s="22">
        <v>9.1</v>
      </c>
      <c r="K92" s="22">
        <v>4.3</v>
      </c>
      <c r="L92" s="68">
        <v>7.0712499999999716</v>
      </c>
      <c r="M92" s="74">
        <v>94.9</v>
      </c>
      <c r="N92" s="57">
        <v>72</v>
      </c>
      <c r="O92" s="70">
        <v>86.649374999999907</v>
      </c>
      <c r="P92" s="103">
        <v>999.01292001981903</v>
      </c>
      <c r="Q92" s="58">
        <v>993.82183972654695</v>
      </c>
      <c r="R92" s="59">
        <v>997.19211836917202</v>
      </c>
      <c r="S92" s="63">
        <v>8.2000000065599998</v>
      </c>
      <c r="T92" s="53">
        <v>5.5966666711439998</v>
      </c>
      <c r="U92" s="41">
        <v>1.7822939342273696</v>
      </c>
      <c r="V92" s="196" t="s">
        <v>212</v>
      </c>
      <c r="W92" s="222" t="s">
        <v>210</v>
      </c>
      <c r="X92" s="43">
        <v>18</v>
      </c>
      <c r="Y92" s="44">
        <v>16</v>
      </c>
      <c r="Z92" s="45">
        <v>0</v>
      </c>
      <c r="AA92" s="46">
        <v>0</v>
      </c>
      <c r="AB92" s="286" t="s">
        <v>226</v>
      </c>
    </row>
    <row r="93" spans="1:28" s="361" customFormat="1" x14ac:dyDescent="0.3">
      <c r="A93" s="38">
        <v>44652</v>
      </c>
      <c r="B93" s="344">
        <v>3.8</v>
      </c>
      <c r="C93" s="345">
        <v>5.0999999999999996</v>
      </c>
      <c r="D93" s="345">
        <v>1</v>
      </c>
      <c r="E93" s="345">
        <v>5.4</v>
      </c>
      <c r="F93" s="345">
        <v>0.5</v>
      </c>
      <c r="G93" s="346">
        <f t="shared" si="6"/>
        <v>4.9000000000000004</v>
      </c>
      <c r="H93" s="346">
        <f>(B93+C93+2*D93)/4</f>
        <v>2.7249999999999996</v>
      </c>
      <c r="I93" s="347">
        <v>3.6558333333333533</v>
      </c>
      <c r="J93" s="345">
        <v>4.5</v>
      </c>
      <c r="K93" s="345">
        <v>-0.3</v>
      </c>
      <c r="L93" s="347">
        <v>2.8604861111110949</v>
      </c>
      <c r="M93" s="348">
        <v>95.4</v>
      </c>
      <c r="N93" s="349">
        <v>92.7</v>
      </c>
      <c r="O93" s="350">
        <v>94.488749999999612</v>
      </c>
      <c r="P93" s="351">
        <v>998.10835591064904</v>
      </c>
      <c r="Q93" s="352">
        <v>992.73766832902402</v>
      </c>
      <c r="R93" s="353">
        <v>994.6124932683573</v>
      </c>
      <c r="S93" s="317">
        <v>5.8000000046400002</v>
      </c>
      <c r="T93" s="318">
        <v>3.9266666698080002</v>
      </c>
      <c r="U93" s="318">
        <v>1.6928623465837174</v>
      </c>
      <c r="V93" s="319" t="s">
        <v>250</v>
      </c>
      <c r="W93" s="355" t="s">
        <v>210</v>
      </c>
      <c r="X93" s="356">
        <v>12</v>
      </c>
      <c r="Y93" s="357">
        <v>10.1</v>
      </c>
      <c r="Z93" s="358">
        <v>0</v>
      </c>
      <c r="AA93" s="359">
        <v>0</v>
      </c>
      <c r="AB93" s="360" t="s">
        <v>226</v>
      </c>
    </row>
    <row r="94" spans="1:28" s="20" customFormat="1" x14ac:dyDescent="0.3">
      <c r="A94" s="38">
        <v>44653</v>
      </c>
      <c r="B94" s="39">
        <v>0.7</v>
      </c>
      <c r="C94" s="14">
        <v>2.8</v>
      </c>
      <c r="D94" s="14">
        <v>0.3</v>
      </c>
      <c r="E94" s="14">
        <v>4.3</v>
      </c>
      <c r="F94" s="14">
        <v>0.1</v>
      </c>
      <c r="G94" s="65">
        <f t="shared" ref="G94:G117" si="7">E94-F94</f>
        <v>4.2</v>
      </c>
      <c r="H94" s="65">
        <f t="shared" ref="H94:H121" si="8">(B94+C94+2*D94)/4</f>
        <v>1.0249999999999999</v>
      </c>
      <c r="I94" s="67">
        <v>1.319166666666669</v>
      </c>
      <c r="J94" s="14">
        <v>1.6</v>
      </c>
      <c r="K94" s="14">
        <v>-1.9</v>
      </c>
      <c r="L94" s="67">
        <v>-0.49826388888888945</v>
      </c>
      <c r="M94" s="73">
        <v>95</v>
      </c>
      <c r="N94" s="24">
        <v>77.099999999999994</v>
      </c>
      <c r="O94" s="69">
        <v>87.825763888888844</v>
      </c>
      <c r="P94" s="102">
        <v>1005.50007645426</v>
      </c>
      <c r="Q94" s="21">
        <v>997.78358294756094</v>
      </c>
      <c r="R94" s="56">
        <v>1001.5298850941307</v>
      </c>
      <c r="S94" s="61">
        <v>7.5000000059999996</v>
      </c>
      <c r="T94" s="51">
        <v>4.7166666704400004</v>
      </c>
      <c r="U94" s="25">
        <v>2.2285263431278035</v>
      </c>
      <c r="V94" s="192" t="s">
        <v>215</v>
      </c>
      <c r="W94" s="193" t="s">
        <v>240</v>
      </c>
      <c r="X94" s="16">
        <v>6</v>
      </c>
      <c r="Y94" s="17">
        <v>0.4</v>
      </c>
      <c r="Z94" s="18">
        <v>0</v>
      </c>
      <c r="AA94" s="42">
        <v>0</v>
      </c>
      <c r="AB94" s="284" t="s">
        <v>226</v>
      </c>
    </row>
    <row r="95" spans="1:28" s="20" customFormat="1" x14ac:dyDescent="0.3">
      <c r="A95" s="38">
        <v>44654</v>
      </c>
      <c r="B95" s="39">
        <v>0.5</v>
      </c>
      <c r="C95" s="14">
        <v>5.0999999999999996</v>
      </c>
      <c r="D95" s="14">
        <v>-1</v>
      </c>
      <c r="E95" s="14">
        <v>6.7</v>
      </c>
      <c r="F95" s="14">
        <v>-3.3</v>
      </c>
      <c r="G95" s="65">
        <f t="shared" si="7"/>
        <v>10</v>
      </c>
      <c r="H95" s="65">
        <f t="shared" si="8"/>
        <v>0.89999999999999991</v>
      </c>
      <c r="I95" s="67">
        <v>1.4642361111111077</v>
      </c>
      <c r="J95" s="14">
        <v>0.1</v>
      </c>
      <c r="K95" s="14">
        <v>-6.2</v>
      </c>
      <c r="L95" s="67">
        <v>-2.6609722222222154</v>
      </c>
      <c r="M95" s="73">
        <v>91.2</v>
      </c>
      <c r="N95" s="24">
        <v>53.5</v>
      </c>
      <c r="O95" s="69">
        <v>74.75624999999998</v>
      </c>
      <c r="P95" s="102">
        <v>1018.40829181395</v>
      </c>
      <c r="Q95" s="21">
        <v>1004.78995771789</v>
      </c>
      <c r="R95" s="56">
        <v>1011.2475971216668</v>
      </c>
      <c r="S95" s="61">
        <v>10.900000008719999</v>
      </c>
      <c r="T95" s="51">
        <v>7.1733333390719993</v>
      </c>
      <c r="U95" s="25">
        <v>2.8811304791870058</v>
      </c>
      <c r="V95" s="192" t="s">
        <v>215</v>
      </c>
      <c r="W95" s="193"/>
      <c r="X95" s="16">
        <v>0</v>
      </c>
      <c r="Y95" s="17">
        <v>0</v>
      </c>
      <c r="Z95" s="18">
        <v>0.3</v>
      </c>
      <c r="AA95" s="42">
        <v>0.3</v>
      </c>
      <c r="AB95" s="284" t="s">
        <v>259</v>
      </c>
    </row>
    <row r="96" spans="1:28" s="20" customFormat="1" x14ac:dyDescent="0.3">
      <c r="A96" s="38">
        <v>44655</v>
      </c>
      <c r="B96" s="39">
        <v>-2.7</v>
      </c>
      <c r="C96" s="14">
        <v>5.6</v>
      </c>
      <c r="D96" s="14">
        <v>3.2</v>
      </c>
      <c r="E96" s="14">
        <v>6.8</v>
      </c>
      <c r="F96" s="14">
        <v>-5.3</v>
      </c>
      <c r="G96" s="65">
        <f t="shared" si="7"/>
        <v>12.1</v>
      </c>
      <c r="H96" s="65">
        <f t="shared" si="8"/>
        <v>2.3250000000000002</v>
      </c>
      <c r="I96" s="67">
        <v>1.3713888888888901</v>
      </c>
      <c r="J96" s="14">
        <v>-1.3</v>
      </c>
      <c r="K96" s="14">
        <v>-6.9</v>
      </c>
      <c r="L96" s="67">
        <v>-4.400000000000003</v>
      </c>
      <c r="M96" s="73">
        <v>92.2</v>
      </c>
      <c r="N96" s="24">
        <v>48</v>
      </c>
      <c r="O96" s="69">
        <v>67.312708333333262</v>
      </c>
      <c r="P96" s="102">
        <v>1018.77240887098</v>
      </c>
      <c r="Q96" s="21">
        <v>1007.29517308192</v>
      </c>
      <c r="R96" s="56">
        <v>1014.7301551385306</v>
      </c>
      <c r="S96" s="62">
        <v>11.60000000928</v>
      </c>
      <c r="T96" s="52">
        <v>7.1666666723999981</v>
      </c>
      <c r="U96" s="19">
        <v>3.1292365694861251</v>
      </c>
      <c r="V96" s="192" t="s">
        <v>212</v>
      </c>
      <c r="W96" s="194"/>
      <c r="X96" s="16">
        <v>0</v>
      </c>
      <c r="Y96" s="17">
        <v>0</v>
      </c>
      <c r="Z96" s="18">
        <v>0</v>
      </c>
      <c r="AA96" s="42">
        <v>0</v>
      </c>
      <c r="AB96" s="284" t="s">
        <v>269</v>
      </c>
    </row>
    <row r="97" spans="1:28" s="20" customFormat="1" x14ac:dyDescent="0.3">
      <c r="A97" s="38">
        <v>44656</v>
      </c>
      <c r="B97" s="39">
        <v>4</v>
      </c>
      <c r="C97" s="14">
        <v>7.2</v>
      </c>
      <c r="D97" s="14">
        <v>7.2</v>
      </c>
      <c r="E97" s="14">
        <v>9.5</v>
      </c>
      <c r="F97" s="14">
        <v>3.3</v>
      </c>
      <c r="G97" s="65">
        <f t="shared" si="7"/>
        <v>6.2</v>
      </c>
      <c r="H97" s="65">
        <f t="shared" si="8"/>
        <v>6.4</v>
      </c>
      <c r="I97" s="67">
        <v>5.973888888888875</v>
      </c>
      <c r="J97" s="14">
        <v>4</v>
      </c>
      <c r="K97" s="14">
        <v>-2.8</v>
      </c>
      <c r="L97" s="67">
        <v>1.087916666666668</v>
      </c>
      <c r="M97" s="73">
        <v>77.7</v>
      </c>
      <c r="N97" s="24">
        <v>62.9</v>
      </c>
      <c r="O97" s="69">
        <v>70.85638888888893</v>
      </c>
      <c r="P97" s="102">
        <v>1007.49997031138</v>
      </c>
      <c r="Q97" s="21">
        <v>1003.6516475168499</v>
      </c>
      <c r="R97" s="56">
        <v>1004.8982541790012</v>
      </c>
      <c r="S97" s="61">
        <v>10.20000000816</v>
      </c>
      <c r="T97" s="51">
        <v>7.188333339084001</v>
      </c>
      <c r="U97" s="25">
        <v>3.4521454573071964</v>
      </c>
      <c r="V97" s="192" t="s">
        <v>211</v>
      </c>
      <c r="W97" s="194"/>
      <c r="X97" s="16">
        <v>0</v>
      </c>
      <c r="Y97" s="17">
        <v>0</v>
      </c>
      <c r="Z97" s="18">
        <v>0</v>
      </c>
      <c r="AA97" s="42">
        <v>0</v>
      </c>
      <c r="AB97" s="284" t="s">
        <v>231</v>
      </c>
    </row>
    <row r="98" spans="1:28" s="20" customFormat="1" x14ac:dyDescent="0.3">
      <c r="A98" s="38">
        <v>44657</v>
      </c>
      <c r="B98" s="39">
        <v>3.2</v>
      </c>
      <c r="C98" s="14">
        <v>15.4</v>
      </c>
      <c r="D98" s="14">
        <v>12.2</v>
      </c>
      <c r="E98" s="14">
        <v>17.3</v>
      </c>
      <c r="F98" s="14">
        <v>1.6</v>
      </c>
      <c r="G98" s="65">
        <f t="shared" si="7"/>
        <v>15.700000000000001</v>
      </c>
      <c r="H98" s="65">
        <f t="shared" si="8"/>
        <v>10.75</v>
      </c>
      <c r="I98" s="67">
        <v>9.7874999999999979</v>
      </c>
      <c r="J98" s="14">
        <v>9.3000000000000007</v>
      </c>
      <c r="K98" s="14">
        <v>0.4</v>
      </c>
      <c r="L98" s="67">
        <v>5.2256944444444331</v>
      </c>
      <c r="M98" s="73">
        <v>93.9</v>
      </c>
      <c r="N98" s="24">
        <v>53.9</v>
      </c>
      <c r="O98" s="69">
        <v>74.740972222222382</v>
      </c>
      <c r="P98" s="102">
        <v>1009.08763573464</v>
      </c>
      <c r="Q98" s="21">
        <v>1003.17250787452</v>
      </c>
      <c r="R98" s="56">
        <v>1006.314284984736</v>
      </c>
      <c r="S98" s="61">
        <v>11.900000009519999</v>
      </c>
      <c r="T98" s="51">
        <v>8.6900000069520011</v>
      </c>
      <c r="U98" s="25">
        <v>2.7947569723813706</v>
      </c>
      <c r="V98" s="192" t="s">
        <v>251</v>
      </c>
      <c r="W98" s="194"/>
      <c r="X98" s="16">
        <v>0</v>
      </c>
      <c r="Y98" s="17">
        <v>0</v>
      </c>
      <c r="Z98" s="18">
        <v>0</v>
      </c>
      <c r="AA98" s="42">
        <v>0</v>
      </c>
      <c r="AB98" s="284" t="s">
        <v>271</v>
      </c>
    </row>
    <row r="99" spans="1:28" s="20" customFormat="1" x14ac:dyDescent="0.3">
      <c r="A99" s="38">
        <v>44658</v>
      </c>
      <c r="B99" s="39">
        <v>6</v>
      </c>
      <c r="C99" s="14">
        <v>16.399999999999999</v>
      </c>
      <c r="D99" s="14">
        <v>10.7</v>
      </c>
      <c r="E99" s="14">
        <v>17.399999999999999</v>
      </c>
      <c r="F99" s="14">
        <v>2.5</v>
      </c>
      <c r="G99" s="65">
        <f t="shared" si="7"/>
        <v>14.899999999999999</v>
      </c>
      <c r="H99" s="65">
        <f t="shared" si="8"/>
        <v>10.95</v>
      </c>
      <c r="I99" s="67">
        <v>10.953611111111121</v>
      </c>
      <c r="J99" s="14">
        <v>8.6</v>
      </c>
      <c r="K99" s="14">
        <v>1.5</v>
      </c>
      <c r="L99" s="67">
        <v>6.2125694444444299</v>
      </c>
      <c r="M99" s="73">
        <v>95.4</v>
      </c>
      <c r="N99" s="24">
        <v>52</v>
      </c>
      <c r="O99" s="69">
        <v>74.261666666666642</v>
      </c>
      <c r="P99" s="102">
        <v>1003.38545564399</v>
      </c>
      <c r="Q99" s="21">
        <v>994.19747592076999</v>
      </c>
      <c r="R99" s="56">
        <v>997.76882528074373</v>
      </c>
      <c r="S99" s="61">
        <v>11.60000000928</v>
      </c>
      <c r="T99" s="51">
        <v>7.7100000061680003</v>
      </c>
      <c r="U99" s="25">
        <v>3.0885338370572883</v>
      </c>
      <c r="V99" s="192" t="s">
        <v>251</v>
      </c>
      <c r="W99" s="194"/>
      <c r="X99" s="16">
        <v>0</v>
      </c>
      <c r="Y99" s="17">
        <v>0</v>
      </c>
      <c r="Z99" s="18">
        <v>0</v>
      </c>
      <c r="AA99" s="42">
        <v>0</v>
      </c>
      <c r="AB99" s="284" t="s">
        <v>231</v>
      </c>
    </row>
    <row r="100" spans="1:28" s="20" customFormat="1" x14ac:dyDescent="0.3">
      <c r="A100" s="38">
        <v>44659</v>
      </c>
      <c r="B100" s="39">
        <v>8.8000000000000007</v>
      </c>
      <c r="C100" s="14">
        <v>19.100000000000001</v>
      </c>
      <c r="D100" s="14">
        <v>13.8</v>
      </c>
      <c r="E100" s="14">
        <v>20.100000000000001</v>
      </c>
      <c r="F100" s="14">
        <v>7.9</v>
      </c>
      <c r="G100" s="65">
        <f t="shared" si="7"/>
        <v>12.200000000000001</v>
      </c>
      <c r="H100" s="65">
        <f t="shared" si="8"/>
        <v>13.875</v>
      </c>
      <c r="I100" s="67">
        <v>13.375069444444421</v>
      </c>
      <c r="J100" s="14">
        <v>8.4</v>
      </c>
      <c r="K100" s="14">
        <v>-1</v>
      </c>
      <c r="L100" s="67">
        <v>4.5509722222222324</v>
      </c>
      <c r="M100" s="73">
        <v>90.8</v>
      </c>
      <c r="N100" s="24">
        <v>26.1</v>
      </c>
      <c r="O100" s="69">
        <v>59.965416666666698</v>
      </c>
      <c r="P100" s="102">
        <v>998.47071896689999</v>
      </c>
      <c r="Q100" s="21">
        <v>993.710817523316</v>
      </c>
      <c r="R100" s="56">
        <v>996.78882217422279</v>
      </c>
      <c r="S100" s="61">
        <v>10.900000008719999</v>
      </c>
      <c r="T100" s="51">
        <v>6.3233333383919987</v>
      </c>
      <c r="U100" s="25">
        <v>3.2054178840026237</v>
      </c>
      <c r="V100" s="192" t="s">
        <v>211</v>
      </c>
      <c r="W100" s="194" t="s">
        <v>210</v>
      </c>
      <c r="X100" s="16">
        <v>12</v>
      </c>
      <c r="Y100" s="17">
        <v>3</v>
      </c>
      <c r="Z100" s="18">
        <v>0</v>
      </c>
      <c r="AA100" s="42">
        <v>0</v>
      </c>
      <c r="AB100" s="284" t="s">
        <v>269</v>
      </c>
    </row>
    <row r="101" spans="1:28" s="20" customFormat="1" x14ac:dyDescent="0.3">
      <c r="A101" s="38">
        <v>44660</v>
      </c>
      <c r="B101" s="39">
        <v>10.199999999999999</v>
      </c>
      <c r="C101" s="14">
        <v>4.8</v>
      </c>
      <c r="D101" s="14">
        <v>3.6</v>
      </c>
      <c r="E101" s="14">
        <v>13.8</v>
      </c>
      <c r="F101" s="14">
        <v>0.8</v>
      </c>
      <c r="G101" s="65">
        <f t="shared" si="7"/>
        <v>13</v>
      </c>
      <c r="H101" s="65">
        <f t="shared" si="8"/>
        <v>5.55</v>
      </c>
      <c r="I101" s="67">
        <v>7.3481249999999676</v>
      </c>
      <c r="J101" s="14">
        <v>9.9</v>
      </c>
      <c r="K101" s="14">
        <v>-0.5</v>
      </c>
      <c r="L101" s="67">
        <v>5.2981250000000033</v>
      </c>
      <c r="M101" s="73">
        <v>95</v>
      </c>
      <c r="N101" s="24">
        <v>74.900000000000006</v>
      </c>
      <c r="O101" s="69">
        <v>86.942152777777878</v>
      </c>
      <c r="P101" s="102">
        <v>1009.97291118601</v>
      </c>
      <c r="Q101" s="21">
        <v>993.06866775254298</v>
      </c>
      <c r="R101" s="56">
        <v>1000.8904369711229</v>
      </c>
      <c r="S101" s="61">
        <v>12.900000010319999</v>
      </c>
      <c r="T101" s="51">
        <v>8.350000006680002</v>
      </c>
      <c r="U101" s="25">
        <v>2.1743282515578954</v>
      </c>
      <c r="V101" s="192" t="s">
        <v>297</v>
      </c>
      <c r="W101" s="194" t="s">
        <v>210</v>
      </c>
      <c r="X101" s="16">
        <v>30</v>
      </c>
      <c r="Y101" s="17">
        <v>5</v>
      </c>
      <c r="Z101" s="18">
        <v>0</v>
      </c>
      <c r="AA101" s="42">
        <v>0</v>
      </c>
      <c r="AB101" s="284" t="s">
        <v>226</v>
      </c>
    </row>
    <row r="102" spans="1:28" s="20" customFormat="1" x14ac:dyDescent="0.3">
      <c r="A102" s="38">
        <v>44661</v>
      </c>
      <c r="B102" s="39">
        <v>0.6</v>
      </c>
      <c r="C102" s="14">
        <v>10.7</v>
      </c>
      <c r="D102" s="14">
        <v>2.7</v>
      </c>
      <c r="E102" s="14">
        <v>12.7</v>
      </c>
      <c r="F102" s="14">
        <v>-1.5</v>
      </c>
      <c r="G102" s="65">
        <f t="shared" si="7"/>
        <v>14.2</v>
      </c>
      <c r="H102" s="65">
        <f t="shared" si="8"/>
        <v>4.1749999999999998</v>
      </c>
      <c r="I102" s="67">
        <v>5.3</v>
      </c>
      <c r="J102" s="14">
        <v>6.0015142229696696</v>
      </c>
      <c r="K102" s="14">
        <v>-4.0733169699230602</v>
      </c>
      <c r="L102" s="67">
        <v>-0.49737340951140341</v>
      </c>
      <c r="M102" s="73">
        <v>98</v>
      </c>
      <c r="N102" s="24">
        <v>37</v>
      </c>
      <c r="O102" s="69">
        <v>69.449302441454918</v>
      </c>
      <c r="P102" s="102">
        <v>1018.4403253271601</v>
      </c>
      <c r="Q102" s="21">
        <v>1009.83005503351</v>
      </c>
      <c r="R102" s="56">
        <v>1013.5022626977568</v>
      </c>
      <c r="S102" s="61">
        <v>9.5000000076000006</v>
      </c>
      <c r="T102" s="51">
        <v>5.0533333373759994</v>
      </c>
      <c r="U102" s="25">
        <v>1.7658445455083336</v>
      </c>
      <c r="V102" s="192" t="s">
        <v>215</v>
      </c>
      <c r="W102" s="194" t="s">
        <v>261</v>
      </c>
      <c r="X102" s="16">
        <v>0</v>
      </c>
      <c r="Y102" s="17">
        <v>0</v>
      </c>
      <c r="Z102" s="18">
        <v>0</v>
      </c>
      <c r="AA102" s="42">
        <v>0</v>
      </c>
      <c r="AB102" s="284" t="s">
        <v>271</v>
      </c>
    </row>
    <row r="103" spans="1:28" s="20" customFormat="1" x14ac:dyDescent="0.3">
      <c r="A103" s="38">
        <v>44662</v>
      </c>
      <c r="B103" s="39">
        <v>0.3</v>
      </c>
      <c r="C103" s="14">
        <v>12</v>
      </c>
      <c r="D103" s="14">
        <v>1.3</v>
      </c>
      <c r="E103" s="14">
        <v>13.3</v>
      </c>
      <c r="F103" s="14">
        <v>-4</v>
      </c>
      <c r="G103" s="65">
        <f t="shared" si="7"/>
        <v>17.3</v>
      </c>
      <c r="H103" s="65">
        <f t="shared" si="8"/>
        <v>3.7250000000000001</v>
      </c>
      <c r="I103" s="67">
        <v>3.3780555555555498</v>
      </c>
      <c r="J103" s="14">
        <v>4.9000000000000004</v>
      </c>
      <c r="K103" s="14">
        <v>-5.0999999999999996</v>
      </c>
      <c r="L103" s="67">
        <v>-0.8839583333333354</v>
      </c>
      <c r="M103" s="73">
        <v>94.3</v>
      </c>
      <c r="N103" s="24">
        <v>42.5</v>
      </c>
      <c r="O103" s="69">
        <v>75.804513888888977</v>
      </c>
      <c r="P103" s="102">
        <v>1021.63736498602</v>
      </c>
      <c r="Q103" s="21">
        <v>1018.0891695960501</v>
      </c>
      <c r="R103" s="56">
        <v>1019.6556264861306</v>
      </c>
      <c r="S103" s="61">
        <v>8.2000000065599998</v>
      </c>
      <c r="T103" s="51">
        <v>5.5233333377519989</v>
      </c>
      <c r="U103" s="25">
        <v>1.3634352484186163</v>
      </c>
      <c r="V103" s="192" t="s">
        <v>215</v>
      </c>
      <c r="W103" s="194" t="s">
        <v>210</v>
      </c>
      <c r="X103" s="16">
        <v>6</v>
      </c>
      <c r="Y103" s="17">
        <v>0.3</v>
      </c>
      <c r="Z103" s="18">
        <v>0</v>
      </c>
      <c r="AA103" s="42">
        <v>0</v>
      </c>
      <c r="AB103" s="284" t="s">
        <v>282</v>
      </c>
    </row>
    <row r="104" spans="1:28" s="20" customFormat="1" x14ac:dyDescent="0.3">
      <c r="A104" s="38">
        <v>44663</v>
      </c>
      <c r="B104" s="39">
        <v>2</v>
      </c>
      <c r="C104" s="14">
        <v>14.4</v>
      </c>
      <c r="D104" s="14">
        <v>3.5</v>
      </c>
      <c r="E104" s="14">
        <v>16.100000000000001</v>
      </c>
      <c r="F104" s="14">
        <v>-1.5</v>
      </c>
      <c r="G104" s="65">
        <f t="shared" si="7"/>
        <v>17.600000000000001</v>
      </c>
      <c r="H104" s="65">
        <f t="shared" si="8"/>
        <v>5.85</v>
      </c>
      <c r="I104" s="67">
        <v>6.2388194444444416</v>
      </c>
      <c r="J104" s="14">
        <v>4.5</v>
      </c>
      <c r="K104" s="14">
        <v>-3</v>
      </c>
      <c r="L104" s="67">
        <v>-0.32243055555555544</v>
      </c>
      <c r="M104" s="73">
        <v>94.3</v>
      </c>
      <c r="N104" s="24">
        <v>34.9</v>
      </c>
      <c r="O104" s="69">
        <v>66.839375000000004</v>
      </c>
      <c r="P104" s="102">
        <v>1023.30349723131</v>
      </c>
      <c r="Q104" s="21">
        <v>1018.80168674767</v>
      </c>
      <c r="R104" s="56">
        <v>1020.8979825791992</v>
      </c>
      <c r="S104" s="61">
        <v>6.8000000054400003</v>
      </c>
      <c r="T104" s="51">
        <v>4.5866666703359993</v>
      </c>
      <c r="U104" s="25">
        <v>1.5061014082888236</v>
      </c>
      <c r="V104" s="192" t="s">
        <v>214</v>
      </c>
      <c r="W104" s="194"/>
      <c r="X104" s="16">
        <v>0</v>
      </c>
      <c r="Y104" s="17">
        <v>0</v>
      </c>
      <c r="Z104" s="18">
        <v>0</v>
      </c>
      <c r="AA104" s="42">
        <v>0</v>
      </c>
      <c r="AB104" s="284" t="s">
        <v>266</v>
      </c>
    </row>
    <row r="105" spans="1:28" s="20" customFormat="1" x14ac:dyDescent="0.3">
      <c r="A105" s="38">
        <v>44664</v>
      </c>
      <c r="B105" s="39">
        <v>0.8</v>
      </c>
      <c r="C105" s="14">
        <v>18.100000000000001</v>
      </c>
      <c r="D105" s="14">
        <v>4.9000000000000004</v>
      </c>
      <c r="E105" s="14">
        <v>18.899999999999999</v>
      </c>
      <c r="F105" s="14">
        <v>-4.3</v>
      </c>
      <c r="G105" s="65">
        <f t="shared" si="7"/>
        <v>23.2</v>
      </c>
      <c r="H105" s="65">
        <f t="shared" si="8"/>
        <v>7.1750000000000007</v>
      </c>
      <c r="I105" s="67">
        <v>6.9304166666666527</v>
      </c>
      <c r="J105" s="14">
        <v>3.9</v>
      </c>
      <c r="K105" s="14">
        <v>-5.6</v>
      </c>
      <c r="L105" s="67">
        <v>-1.8174999999999963</v>
      </c>
      <c r="M105" s="73">
        <v>92.6</v>
      </c>
      <c r="N105" s="24">
        <v>20.7</v>
      </c>
      <c r="O105" s="69">
        <v>60.096180555555549</v>
      </c>
      <c r="P105" s="102">
        <v>1024.6121339922599</v>
      </c>
      <c r="Q105" s="21">
        <v>1019.10277626831</v>
      </c>
      <c r="R105" s="56">
        <v>1022.276389372793</v>
      </c>
      <c r="S105" s="61">
        <v>4.1000000032799999</v>
      </c>
      <c r="T105" s="51">
        <v>2.9216666690039998</v>
      </c>
      <c r="U105" s="25">
        <v>0.92267343559431825</v>
      </c>
      <c r="V105" s="192" t="s">
        <v>213</v>
      </c>
      <c r="W105" s="279"/>
      <c r="X105" s="26">
        <v>0</v>
      </c>
      <c r="Y105" s="27">
        <v>0</v>
      </c>
      <c r="Z105" s="28">
        <v>0</v>
      </c>
      <c r="AA105" s="29">
        <v>0</v>
      </c>
      <c r="AB105" s="285" t="s">
        <v>273</v>
      </c>
    </row>
    <row r="106" spans="1:28" s="20" customFormat="1" x14ac:dyDescent="0.3">
      <c r="A106" s="38">
        <v>44665</v>
      </c>
      <c r="B106" s="39">
        <v>2.9</v>
      </c>
      <c r="C106" s="14">
        <v>21.1</v>
      </c>
      <c r="D106" s="14">
        <v>10.5</v>
      </c>
      <c r="E106" s="14">
        <v>21.8</v>
      </c>
      <c r="F106" s="14">
        <v>-2</v>
      </c>
      <c r="G106" s="65">
        <f t="shared" si="7"/>
        <v>23.8</v>
      </c>
      <c r="H106" s="65">
        <f t="shared" si="8"/>
        <v>11.25</v>
      </c>
      <c r="I106" s="67">
        <v>9.9662499999999952</v>
      </c>
      <c r="J106" s="14">
        <v>7.4</v>
      </c>
      <c r="K106" s="14">
        <v>-3.8</v>
      </c>
      <c r="L106" s="67">
        <v>1.3118750000000012</v>
      </c>
      <c r="M106" s="73">
        <v>89.4</v>
      </c>
      <c r="N106" s="24">
        <v>32</v>
      </c>
      <c r="O106" s="69">
        <v>59.395902777777884</v>
      </c>
      <c r="P106" s="102">
        <v>1023.21756648254</v>
      </c>
      <c r="Q106" s="21">
        <v>1016.97046594924</v>
      </c>
      <c r="R106" s="56">
        <v>1020.2515940233351</v>
      </c>
      <c r="S106" s="61">
        <v>7.5000000059999996</v>
      </c>
      <c r="T106" s="51">
        <v>4.9733333373120008</v>
      </c>
      <c r="U106" s="25">
        <v>1.6400776335294371</v>
      </c>
      <c r="V106" s="192" t="s">
        <v>249</v>
      </c>
      <c r="W106" s="195"/>
      <c r="X106" s="26">
        <v>0</v>
      </c>
      <c r="Y106" s="27">
        <v>0</v>
      </c>
      <c r="Z106" s="28">
        <v>0</v>
      </c>
      <c r="AA106" s="29">
        <v>0</v>
      </c>
      <c r="AB106" s="285" t="s">
        <v>269</v>
      </c>
    </row>
    <row r="107" spans="1:28" s="20" customFormat="1" x14ac:dyDescent="0.3">
      <c r="A107" s="38">
        <v>44666</v>
      </c>
      <c r="B107" s="39">
        <v>5.6</v>
      </c>
      <c r="C107" s="14">
        <v>14.6</v>
      </c>
      <c r="D107" s="14">
        <v>10.1</v>
      </c>
      <c r="E107" s="14">
        <v>16.7</v>
      </c>
      <c r="F107" s="14">
        <v>1.1000000000000001</v>
      </c>
      <c r="G107" s="65">
        <f t="shared" si="7"/>
        <v>15.6</v>
      </c>
      <c r="H107" s="65">
        <f t="shared" si="8"/>
        <v>10.1</v>
      </c>
      <c r="I107" s="67">
        <v>9.4436805555555612</v>
      </c>
      <c r="J107" s="14">
        <v>11.2</v>
      </c>
      <c r="K107" s="14">
        <v>-0.4</v>
      </c>
      <c r="L107" s="67">
        <v>5.4549999999999983</v>
      </c>
      <c r="M107" s="73">
        <v>92.4</v>
      </c>
      <c r="N107" s="24">
        <v>41.5</v>
      </c>
      <c r="O107" s="69">
        <v>77.811527777777897</v>
      </c>
      <c r="P107" s="102">
        <v>1019.87499276073</v>
      </c>
      <c r="Q107" s="21">
        <v>1017.04813525273</v>
      </c>
      <c r="R107" s="56">
        <v>1018.4170248993672</v>
      </c>
      <c r="S107" s="61">
        <v>4.1000000032799999</v>
      </c>
      <c r="T107" s="51">
        <v>2.7683333355479998</v>
      </c>
      <c r="U107" s="25">
        <v>0.83151647353342872</v>
      </c>
      <c r="V107" s="192" t="s">
        <v>214</v>
      </c>
      <c r="W107" s="195" t="s">
        <v>210</v>
      </c>
      <c r="X107" s="26">
        <v>18</v>
      </c>
      <c r="Y107" s="27">
        <v>3.1</v>
      </c>
      <c r="Z107" s="28">
        <v>0</v>
      </c>
      <c r="AA107" s="29">
        <v>0</v>
      </c>
      <c r="AB107" s="285" t="s">
        <v>231</v>
      </c>
    </row>
    <row r="108" spans="1:28" s="20" customFormat="1" x14ac:dyDescent="0.3">
      <c r="A108" s="38">
        <v>44667</v>
      </c>
      <c r="B108" s="39">
        <v>8.4</v>
      </c>
      <c r="C108" s="14">
        <v>5.8</v>
      </c>
      <c r="D108" s="14">
        <v>4.5999999999999996</v>
      </c>
      <c r="E108" s="14">
        <v>12</v>
      </c>
      <c r="F108" s="14">
        <v>3</v>
      </c>
      <c r="G108" s="65">
        <f t="shared" si="7"/>
        <v>9</v>
      </c>
      <c r="H108" s="65">
        <f t="shared" si="8"/>
        <v>5.85</v>
      </c>
      <c r="I108" s="67">
        <v>7.694305555555558</v>
      </c>
      <c r="J108" s="14">
        <v>7.7</v>
      </c>
      <c r="K108" s="14">
        <v>-2.7</v>
      </c>
      <c r="L108" s="67">
        <v>4.1318055555555482</v>
      </c>
      <c r="M108" s="73">
        <v>93.9</v>
      </c>
      <c r="N108" s="24">
        <v>62.5</v>
      </c>
      <c r="O108" s="69">
        <v>78.743611111111221</v>
      </c>
      <c r="P108" s="102">
        <v>1027.2541552954599</v>
      </c>
      <c r="Q108" s="21">
        <v>1017.30407602119</v>
      </c>
      <c r="R108" s="56">
        <v>1021.9895249076039</v>
      </c>
      <c r="S108" s="61">
        <v>11.20000000896</v>
      </c>
      <c r="T108" s="51">
        <v>6.293333338367999</v>
      </c>
      <c r="U108" s="25">
        <v>2.7616084447129117</v>
      </c>
      <c r="V108" s="192" t="s">
        <v>215</v>
      </c>
      <c r="W108" s="195"/>
      <c r="X108" s="26">
        <v>0</v>
      </c>
      <c r="Y108" s="27">
        <v>0</v>
      </c>
      <c r="Z108" s="28">
        <v>0</v>
      </c>
      <c r="AA108" s="29">
        <v>0</v>
      </c>
      <c r="AB108" s="285" t="s">
        <v>231</v>
      </c>
    </row>
    <row r="109" spans="1:28" s="20" customFormat="1" x14ac:dyDescent="0.3">
      <c r="A109" s="38">
        <v>44668</v>
      </c>
      <c r="B109" s="39">
        <v>5.8</v>
      </c>
      <c r="C109" s="14">
        <v>9.6</v>
      </c>
      <c r="D109" s="14">
        <v>4.3</v>
      </c>
      <c r="E109" s="14">
        <v>14.4</v>
      </c>
      <c r="F109" s="14">
        <v>-1.9</v>
      </c>
      <c r="G109" s="65">
        <f t="shared" si="7"/>
        <v>16.3</v>
      </c>
      <c r="H109" s="65">
        <f t="shared" si="8"/>
        <v>6</v>
      </c>
      <c r="I109" s="67">
        <v>5.7971771347918013</v>
      </c>
      <c r="J109" s="14">
        <v>3.1</v>
      </c>
      <c r="K109" s="14">
        <v>-4</v>
      </c>
      <c r="L109" s="67">
        <v>-1.0957657021877214</v>
      </c>
      <c r="M109" s="73">
        <v>89.7</v>
      </c>
      <c r="N109" s="24">
        <v>40.700000000000003</v>
      </c>
      <c r="O109" s="69">
        <v>62.780310515172921</v>
      </c>
      <c r="P109" s="102">
        <v>1026.7947219315799</v>
      </c>
      <c r="Q109" s="21">
        <v>1020.58309070141</v>
      </c>
      <c r="R109" s="56">
        <v>1023.6846540415233</v>
      </c>
      <c r="S109" s="61">
        <v>12.20000000976</v>
      </c>
      <c r="T109" s="51">
        <v>7.6400000061119995</v>
      </c>
      <c r="U109" s="25">
        <v>2.4553222322321702</v>
      </c>
      <c r="V109" s="192" t="s">
        <v>214</v>
      </c>
      <c r="W109" s="195" t="s">
        <v>261</v>
      </c>
      <c r="X109" s="26">
        <v>0</v>
      </c>
      <c r="Y109" s="27">
        <v>0</v>
      </c>
      <c r="Z109" s="28">
        <v>0</v>
      </c>
      <c r="AA109" s="29">
        <v>0</v>
      </c>
      <c r="AB109" s="285" t="s">
        <v>282</v>
      </c>
    </row>
    <row r="110" spans="1:28" s="20" customFormat="1" x14ac:dyDescent="0.3">
      <c r="A110" s="38">
        <v>44669</v>
      </c>
      <c r="B110" s="39">
        <v>2.2999999999999998</v>
      </c>
      <c r="C110" s="14">
        <v>10.5</v>
      </c>
      <c r="D110" s="14">
        <v>1.5</v>
      </c>
      <c r="E110" s="14">
        <v>12.7</v>
      </c>
      <c r="F110" s="14">
        <v>-2.2999999999999998</v>
      </c>
      <c r="G110" s="65">
        <f t="shared" si="7"/>
        <v>15</v>
      </c>
      <c r="H110" s="65">
        <f t="shared" si="8"/>
        <v>3.95</v>
      </c>
      <c r="I110" s="67">
        <v>4.2630555555555567</v>
      </c>
      <c r="J110" s="14">
        <v>3</v>
      </c>
      <c r="K110" s="14">
        <v>-3.6</v>
      </c>
      <c r="L110" s="67">
        <v>-0.31472222222222102</v>
      </c>
      <c r="M110" s="73">
        <v>93.6</v>
      </c>
      <c r="N110" s="24">
        <v>37.200000000000003</v>
      </c>
      <c r="O110" s="69">
        <v>74.503194444444432</v>
      </c>
      <c r="P110" s="102">
        <v>1020.89031017483</v>
      </c>
      <c r="Q110" s="21">
        <v>1013.01453345314</v>
      </c>
      <c r="R110" s="56">
        <v>1016.1729605833436</v>
      </c>
      <c r="S110" s="61">
        <v>10.20000000816</v>
      </c>
      <c r="T110" s="51">
        <v>6.5766666719279998</v>
      </c>
      <c r="U110" s="25">
        <v>1.9092794775099493</v>
      </c>
      <c r="V110" s="192" t="s">
        <v>214</v>
      </c>
      <c r="W110" s="195" t="s">
        <v>240</v>
      </c>
      <c r="X110" s="26">
        <v>6</v>
      </c>
      <c r="Y110" s="27">
        <v>0.3</v>
      </c>
      <c r="Z110" s="28">
        <v>0</v>
      </c>
      <c r="AA110" s="29">
        <v>0</v>
      </c>
      <c r="AB110" s="285" t="s">
        <v>283</v>
      </c>
    </row>
    <row r="111" spans="1:28" s="20" customFormat="1" x14ac:dyDescent="0.3">
      <c r="A111" s="38">
        <v>44670</v>
      </c>
      <c r="B111" s="39">
        <v>2.4</v>
      </c>
      <c r="C111" s="14">
        <v>10.6</v>
      </c>
      <c r="D111" s="14">
        <v>3.1</v>
      </c>
      <c r="E111" s="14">
        <v>11.8</v>
      </c>
      <c r="F111" s="14">
        <v>-1.1000000000000001</v>
      </c>
      <c r="G111" s="65">
        <f t="shared" si="7"/>
        <v>12.9</v>
      </c>
      <c r="H111" s="65">
        <f t="shared" si="8"/>
        <v>4.8</v>
      </c>
      <c r="I111" s="67">
        <v>4.588125000000006</v>
      </c>
      <c r="J111" s="14">
        <v>5.2</v>
      </c>
      <c r="K111" s="14">
        <v>-2.2000000000000002</v>
      </c>
      <c r="L111" s="67">
        <v>0.35277777777777919</v>
      </c>
      <c r="M111" s="73">
        <v>95.3</v>
      </c>
      <c r="N111" s="24">
        <v>51.1</v>
      </c>
      <c r="O111" s="69">
        <v>75.770625000000038</v>
      </c>
      <c r="P111" s="102">
        <v>1014.07904050602</v>
      </c>
      <c r="Q111" s="21">
        <v>1010.39824961647</v>
      </c>
      <c r="R111" s="56">
        <v>1011.9301575647601</v>
      </c>
      <c r="S111" s="61">
        <v>5.4000000043199998</v>
      </c>
      <c r="T111" s="51">
        <v>3.5900000028720003</v>
      </c>
      <c r="U111" s="25">
        <v>0.90354635753716961</v>
      </c>
      <c r="V111" s="192" t="s">
        <v>213</v>
      </c>
      <c r="W111" s="195" t="s">
        <v>227</v>
      </c>
      <c r="X111" s="26">
        <v>0</v>
      </c>
      <c r="Y111" s="27">
        <v>0</v>
      </c>
      <c r="Z111" s="28">
        <v>0</v>
      </c>
      <c r="AA111" s="29">
        <v>0</v>
      </c>
      <c r="AB111" s="285" t="s">
        <v>284</v>
      </c>
    </row>
    <row r="112" spans="1:28" s="20" customFormat="1" x14ac:dyDescent="0.3">
      <c r="A112" s="38">
        <v>44671</v>
      </c>
      <c r="B112" s="39">
        <v>2.1</v>
      </c>
      <c r="C112" s="14">
        <v>13.7</v>
      </c>
      <c r="D112" s="14">
        <v>6.3</v>
      </c>
      <c r="E112" s="14">
        <v>21.9</v>
      </c>
      <c r="F112" s="14">
        <v>-3.1</v>
      </c>
      <c r="G112" s="65">
        <f t="shared" si="7"/>
        <v>25</v>
      </c>
      <c r="H112" s="65">
        <f t="shared" si="8"/>
        <v>7.1</v>
      </c>
      <c r="I112" s="67">
        <v>6.3156250000000105</v>
      </c>
      <c r="J112" s="14">
        <v>12</v>
      </c>
      <c r="K112" s="14">
        <v>-4.2</v>
      </c>
      <c r="L112" s="67">
        <v>1.2499999999999876E-2</v>
      </c>
      <c r="M112" s="73">
        <v>94.3</v>
      </c>
      <c r="N112" s="24">
        <v>33.1</v>
      </c>
      <c r="O112" s="69">
        <v>67.517291666666566</v>
      </c>
      <c r="P112" s="102">
        <v>1014.0080808475</v>
      </c>
      <c r="Q112" s="21">
        <v>1009.82977790831</v>
      </c>
      <c r="R112" s="56">
        <v>1011.8482388707569</v>
      </c>
      <c r="S112" s="61">
        <v>6.10000000488</v>
      </c>
      <c r="T112" s="51">
        <v>4.4516666702279997</v>
      </c>
      <c r="U112" s="25">
        <v>1.0550629853401707</v>
      </c>
      <c r="V112" s="192" t="s">
        <v>214</v>
      </c>
      <c r="W112" s="195"/>
      <c r="X112" s="26">
        <v>0</v>
      </c>
      <c r="Y112" s="27">
        <v>0</v>
      </c>
      <c r="Z112" s="28">
        <v>0</v>
      </c>
      <c r="AA112" s="29">
        <v>0</v>
      </c>
      <c r="AB112" s="285" t="s">
        <v>271</v>
      </c>
    </row>
    <row r="113" spans="1:28" s="20" customFormat="1" x14ac:dyDescent="0.3">
      <c r="A113" s="38">
        <v>44672</v>
      </c>
      <c r="B113" s="39">
        <v>1</v>
      </c>
      <c r="C113" s="14">
        <v>14.2</v>
      </c>
      <c r="D113" s="14">
        <v>8.5</v>
      </c>
      <c r="E113" s="14">
        <v>14.6</v>
      </c>
      <c r="F113" s="14">
        <v>-2.8</v>
      </c>
      <c r="G113" s="65">
        <f t="shared" si="7"/>
        <v>17.399999999999999</v>
      </c>
      <c r="H113" s="65">
        <f t="shared" si="8"/>
        <v>8.0500000000000007</v>
      </c>
      <c r="I113" s="67">
        <v>6.6232638888888786</v>
      </c>
      <c r="J113" s="14">
        <v>5.4</v>
      </c>
      <c r="K113" s="14">
        <v>-4</v>
      </c>
      <c r="L113" s="67">
        <v>1.7388888888888949</v>
      </c>
      <c r="M113" s="73">
        <v>93.4</v>
      </c>
      <c r="N113" s="24">
        <v>47.7</v>
      </c>
      <c r="O113" s="69">
        <v>73.054236111111152</v>
      </c>
      <c r="P113" s="102">
        <v>1013.1974875183</v>
      </c>
      <c r="Q113" s="21">
        <v>1009.71938080449</v>
      </c>
      <c r="R113" s="56">
        <v>1011.5636778674198</v>
      </c>
      <c r="S113" s="61">
        <v>6.8000000054400003</v>
      </c>
      <c r="T113" s="51">
        <v>4.8533333372159992</v>
      </c>
      <c r="U113" s="25">
        <v>0.89400346263409702</v>
      </c>
      <c r="V113" s="192" t="s">
        <v>213</v>
      </c>
      <c r="W113" s="195"/>
      <c r="X113" s="26">
        <v>0</v>
      </c>
      <c r="Y113" s="27">
        <v>0</v>
      </c>
      <c r="Z113" s="28">
        <v>0</v>
      </c>
      <c r="AA113" s="29">
        <v>0</v>
      </c>
      <c r="AB113" s="285" t="s">
        <v>231</v>
      </c>
    </row>
    <row r="114" spans="1:28" s="20" customFormat="1" x14ac:dyDescent="0.3">
      <c r="A114" s="38">
        <v>44673</v>
      </c>
      <c r="B114" s="39">
        <v>6.5</v>
      </c>
      <c r="C114" s="14">
        <v>14.8</v>
      </c>
      <c r="D114" s="14">
        <v>9.1</v>
      </c>
      <c r="E114" s="14">
        <v>17.399999999999999</v>
      </c>
      <c r="F114" s="14">
        <v>3.3</v>
      </c>
      <c r="G114" s="65">
        <f t="shared" si="7"/>
        <v>14.099999999999998</v>
      </c>
      <c r="H114" s="65">
        <f t="shared" si="8"/>
        <v>9.875</v>
      </c>
      <c r="I114" s="67">
        <v>9.8536111111111246</v>
      </c>
      <c r="J114" s="14">
        <v>8.4</v>
      </c>
      <c r="K114" s="14">
        <v>2.1</v>
      </c>
      <c r="L114" s="67">
        <v>5.2994444444444371</v>
      </c>
      <c r="M114" s="73">
        <v>93.3</v>
      </c>
      <c r="N114" s="24">
        <v>47.7</v>
      </c>
      <c r="O114" s="69">
        <v>75.226597222222125</v>
      </c>
      <c r="P114" s="102">
        <v>1011.25468591297</v>
      </c>
      <c r="Q114" s="21">
        <v>1005.28579290818</v>
      </c>
      <c r="R114" s="56">
        <v>1008.154285962907</v>
      </c>
      <c r="S114" s="61">
        <v>6.8000000054400003</v>
      </c>
      <c r="T114" s="51">
        <v>4.6966666704240003</v>
      </c>
      <c r="U114" s="25">
        <v>1.5609420302342589</v>
      </c>
      <c r="V114" s="192" t="s">
        <v>248</v>
      </c>
      <c r="W114" s="195" t="s">
        <v>210</v>
      </c>
      <c r="X114" s="26">
        <v>6</v>
      </c>
      <c r="Y114" s="27">
        <v>3</v>
      </c>
      <c r="Z114" s="28">
        <v>0</v>
      </c>
      <c r="AA114" s="29">
        <v>0</v>
      </c>
      <c r="AB114" s="285" t="s">
        <v>231</v>
      </c>
    </row>
    <row r="115" spans="1:28" s="20" customFormat="1" x14ac:dyDescent="0.3">
      <c r="A115" s="38">
        <v>44674</v>
      </c>
      <c r="B115" s="39">
        <v>6.8</v>
      </c>
      <c r="C115" s="14">
        <v>15.5</v>
      </c>
      <c r="D115" s="14">
        <v>5.2</v>
      </c>
      <c r="E115" s="14">
        <v>16.600000000000001</v>
      </c>
      <c r="F115" s="14">
        <v>2</v>
      </c>
      <c r="G115" s="65">
        <f t="shared" si="7"/>
        <v>14.600000000000001</v>
      </c>
      <c r="H115" s="65">
        <f t="shared" si="8"/>
        <v>8.1750000000000007</v>
      </c>
      <c r="I115" s="67">
        <v>9.1411805555555627</v>
      </c>
      <c r="J115" s="14">
        <v>9.3000000000000007</v>
      </c>
      <c r="K115" s="14">
        <v>0.5</v>
      </c>
      <c r="L115" s="67">
        <v>5.4459027777777802</v>
      </c>
      <c r="M115" s="73">
        <v>93.4</v>
      </c>
      <c r="N115" s="24">
        <v>51.3</v>
      </c>
      <c r="O115" s="69">
        <v>79.140624999999929</v>
      </c>
      <c r="P115" s="102">
        <v>1009.29410365841</v>
      </c>
      <c r="Q115" s="21">
        <v>1004.88464822659</v>
      </c>
      <c r="R115" s="56">
        <v>1006.7653149760707</v>
      </c>
      <c r="S115" s="61">
        <v>6.10000000488</v>
      </c>
      <c r="T115" s="51">
        <v>3.9400000031520008</v>
      </c>
      <c r="U115" s="25">
        <v>1.6161742996681263</v>
      </c>
      <c r="V115" s="192" t="s">
        <v>215</v>
      </c>
      <c r="W115" s="195" t="s">
        <v>210</v>
      </c>
      <c r="X115" s="26">
        <v>6</v>
      </c>
      <c r="Y115" s="27">
        <v>0.1</v>
      </c>
      <c r="Z115" s="28">
        <v>0</v>
      </c>
      <c r="AA115" s="29">
        <v>0</v>
      </c>
      <c r="AB115" s="285" t="s">
        <v>271</v>
      </c>
    </row>
    <row r="116" spans="1:28" s="20" customFormat="1" x14ac:dyDescent="0.3">
      <c r="A116" s="38">
        <v>44675</v>
      </c>
      <c r="B116" s="39">
        <v>6</v>
      </c>
      <c r="C116" s="14">
        <v>12.6</v>
      </c>
      <c r="D116" s="14">
        <v>9.5</v>
      </c>
      <c r="E116" s="14">
        <v>13.7</v>
      </c>
      <c r="F116" s="14">
        <v>1</v>
      </c>
      <c r="G116" s="65">
        <f t="shared" si="7"/>
        <v>12.7</v>
      </c>
      <c r="H116" s="65">
        <f t="shared" si="8"/>
        <v>9.4</v>
      </c>
      <c r="I116" s="67">
        <v>7.7254929577464884</v>
      </c>
      <c r="J116" s="14">
        <v>11.1</v>
      </c>
      <c r="K116" s="14">
        <v>-0.1</v>
      </c>
      <c r="L116" s="67">
        <v>6.2461971830985892</v>
      </c>
      <c r="M116" s="73">
        <v>96.5</v>
      </c>
      <c r="N116" s="24">
        <v>77.900000000000006</v>
      </c>
      <c r="O116" s="69">
        <v>90.513521126760665</v>
      </c>
      <c r="P116" s="102">
        <v>1009.03922007099</v>
      </c>
      <c r="Q116" s="21">
        <v>1002.37063646514</v>
      </c>
      <c r="R116" s="56">
        <v>1005.4713250922065</v>
      </c>
      <c r="S116" s="61">
        <v>7.5000000059999996</v>
      </c>
      <c r="T116" s="51">
        <v>5.2033333374960007</v>
      </c>
      <c r="U116" s="25">
        <v>2.2711824465032051</v>
      </c>
      <c r="V116" s="192" t="s">
        <v>212</v>
      </c>
      <c r="W116" s="195" t="s">
        <v>210</v>
      </c>
      <c r="X116" s="26">
        <v>12</v>
      </c>
      <c r="Y116" s="27">
        <v>3.3</v>
      </c>
      <c r="Z116" s="28">
        <v>0</v>
      </c>
      <c r="AA116" s="29">
        <v>0</v>
      </c>
      <c r="AB116" s="285" t="s">
        <v>231</v>
      </c>
    </row>
    <row r="117" spans="1:28" s="20" customFormat="1" x14ac:dyDescent="0.3">
      <c r="A117" s="38">
        <v>44676</v>
      </c>
      <c r="B117" s="39">
        <v>10.1</v>
      </c>
      <c r="C117" s="14">
        <v>17.600000000000001</v>
      </c>
      <c r="D117" s="14">
        <v>9.8000000000000007</v>
      </c>
      <c r="E117" s="14">
        <v>18.5</v>
      </c>
      <c r="F117" s="14">
        <v>8.8000000000000007</v>
      </c>
      <c r="G117" s="65">
        <f t="shared" si="7"/>
        <v>9.6999999999999993</v>
      </c>
      <c r="H117" s="65">
        <f t="shared" si="8"/>
        <v>11.825000000000001</v>
      </c>
      <c r="I117" s="67">
        <v>12.380069444444427</v>
      </c>
      <c r="J117" s="14">
        <v>14</v>
      </c>
      <c r="K117" s="14">
        <v>7.7</v>
      </c>
      <c r="L117" s="67">
        <v>9.6173611111110979</v>
      </c>
      <c r="M117" s="73">
        <v>96.6</v>
      </c>
      <c r="N117" s="24">
        <v>55.2</v>
      </c>
      <c r="O117" s="69">
        <v>84.399444444444427</v>
      </c>
      <c r="P117" s="102">
        <v>1010.29313648075</v>
      </c>
      <c r="Q117" s="21">
        <v>1003.24802064033</v>
      </c>
      <c r="R117" s="56">
        <v>1005.4800664359335</v>
      </c>
      <c r="S117" s="61">
        <v>10.500000008400001</v>
      </c>
      <c r="T117" s="51">
        <v>5.7566666712719998</v>
      </c>
      <c r="U117" s="25">
        <v>1.9681110289545349</v>
      </c>
      <c r="V117" s="192" t="s">
        <v>211</v>
      </c>
      <c r="W117" s="195" t="s">
        <v>210</v>
      </c>
      <c r="X117" s="26">
        <v>48</v>
      </c>
      <c r="Y117" s="27">
        <v>3.5</v>
      </c>
      <c r="Z117" s="28">
        <v>0</v>
      </c>
      <c r="AA117" s="29">
        <v>0</v>
      </c>
      <c r="AB117" s="285" t="s">
        <v>294</v>
      </c>
    </row>
    <row r="118" spans="1:28" s="20" customFormat="1" x14ac:dyDescent="0.3">
      <c r="A118" s="38">
        <v>44677</v>
      </c>
      <c r="B118" s="39">
        <v>10</v>
      </c>
      <c r="C118" s="14">
        <v>15.2</v>
      </c>
      <c r="D118" s="14">
        <v>10.8</v>
      </c>
      <c r="E118" s="14">
        <v>16.600000000000001</v>
      </c>
      <c r="F118" s="14">
        <v>8.1</v>
      </c>
      <c r="G118" s="65">
        <f t="shared" ref="G118:G123" si="9">E118-F118</f>
        <v>8.5000000000000018</v>
      </c>
      <c r="H118" s="65">
        <f t="shared" si="8"/>
        <v>11.7</v>
      </c>
      <c r="I118" s="67">
        <v>11.420208333333328</v>
      </c>
      <c r="J118" s="14">
        <v>11</v>
      </c>
      <c r="K118" s="14">
        <v>5.9</v>
      </c>
      <c r="L118" s="67">
        <v>7.9922916666666852</v>
      </c>
      <c r="M118" s="73">
        <v>97.8</v>
      </c>
      <c r="N118" s="24">
        <v>57.6</v>
      </c>
      <c r="O118" s="69">
        <v>80.389166666666583</v>
      </c>
      <c r="P118" s="102">
        <v>1017.55230455089</v>
      </c>
      <c r="Q118" s="21">
        <v>1009.99439146982</v>
      </c>
      <c r="R118" s="56">
        <v>1013.9171609813679</v>
      </c>
      <c r="S118" s="61">
        <v>5.4000000043199998</v>
      </c>
      <c r="T118" s="51">
        <v>3.603333336216</v>
      </c>
      <c r="U118" s="25">
        <v>1.242981819176203</v>
      </c>
      <c r="V118" s="192" t="s">
        <v>215</v>
      </c>
      <c r="W118" s="195"/>
      <c r="X118" s="26">
        <v>0</v>
      </c>
      <c r="Y118" s="27">
        <v>0</v>
      </c>
      <c r="Z118" s="28">
        <v>0</v>
      </c>
      <c r="AA118" s="29">
        <v>0</v>
      </c>
      <c r="AB118" s="285" t="s">
        <v>221</v>
      </c>
    </row>
    <row r="119" spans="1:28" s="20" customFormat="1" x14ac:dyDescent="0.3">
      <c r="A119" s="38">
        <v>44678</v>
      </c>
      <c r="B119" s="39">
        <v>10.5</v>
      </c>
      <c r="C119" s="14">
        <v>14.8</v>
      </c>
      <c r="D119" s="14">
        <v>9.5</v>
      </c>
      <c r="E119" s="14">
        <v>15.2</v>
      </c>
      <c r="F119" s="14">
        <v>7.9</v>
      </c>
      <c r="G119" s="65">
        <f t="shared" si="9"/>
        <v>7.2999999999999989</v>
      </c>
      <c r="H119" s="65">
        <f t="shared" si="8"/>
        <v>11.074999999999999</v>
      </c>
      <c r="I119" s="67">
        <v>10.847152777777758</v>
      </c>
      <c r="J119" s="14">
        <v>12.2</v>
      </c>
      <c r="K119" s="14">
        <v>5.7</v>
      </c>
      <c r="L119" s="67">
        <v>7.738194444444467</v>
      </c>
      <c r="M119" s="73">
        <v>90.7</v>
      </c>
      <c r="N119" s="24">
        <v>67.900000000000006</v>
      </c>
      <c r="O119" s="69">
        <v>81.390486111111059</v>
      </c>
      <c r="P119" s="102">
        <v>1021.22881809137</v>
      </c>
      <c r="Q119" s="21">
        <v>1016.99698080807</v>
      </c>
      <c r="R119" s="56">
        <v>1018.9108067412981</v>
      </c>
      <c r="S119" s="61">
        <v>8.5000000068000006</v>
      </c>
      <c r="T119" s="51">
        <v>5.86666667136</v>
      </c>
      <c r="U119" s="25">
        <v>1.9596918987050629</v>
      </c>
      <c r="V119" s="192" t="s">
        <v>215</v>
      </c>
      <c r="W119" s="195" t="s">
        <v>210</v>
      </c>
      <c r="X119" s="26">
        <v>6</v>
      </c>
      <c r="Y119" s="27">
        <v>0.4</v>
      </c>
      <c r="Z119" s="28">
        <v>0</v>
      </c>
      <c r="AA119" s="29">
        <v>0</v>
      </c>
      <c r="AB119" s="285" t="s">
        <v>226</v>
      </c>
    </row>
    <row r="120" spans="1:28" s="20" customFormat="1" x14ac:dyDescent="0.3">
      <c r="A120" s="38">
        <v>44679</v>
      </c>
      <c r="B120" s="39">
        <v>10.5</v>
      </c>
      <c r="C120" s="14">
        <v>17.100000000000001</v>
      </c>
      <c r="D120" s="14">
        <v>9</v>
      </c>
      <c r="E120" s="14">
        <v>19.600000000000001</v>
      </c>
      <c r="F120" s="14">
        <v>4.9000000000000004</v>
      </c>
      <c r="G120" s="65">
        <f t="shared" si="9"/>
        <v>14.700000000000001</v>
      </c>
      <c r="H120" s="65">
        <f t="shared" si="8"/>
        <v>11.4</v>
      </c>
      <c r="I120" s="67">
        <v>11.945208333333325</v>
      </c>
      <c r="J120" s="14">
        <v>10.3</v>
      </c>
      <c r="K120" s="14">
        <v>3.1</v>
      </c>
      <c r="L120" s="67">
        <v>7.0599999999999845</v>
      </c>
      <c r="M120" s="73">
        <v>90.4</v>
      </c>
      <c r="N120" s="24">
        <v>46.3</v>
      </c>
      <c r="O120" s="69">
        <v>73.688194444444449</v>
      </c>
      <c r="P120" s="102">
        <v>1026.5461126508401</v>
      </c>
      <c r="Q120" s="21">
        <v>1020.3160015856899</v>
      </c>
      <c r="R120" s="56">
        <v>1022.5138887981662</v>
      </c>
      <c r="S120" s="61">
        <v>10.500000008400001</v>
      </c>
      <c r="T120" s="51">
        <v>7.3766666725679997</v>
      </c>
      <c r="U120" s="25">
        <v>2.0668601854948006</v>
      </c>
      <c r="V120" s="192" t="s">
        <v>215</v>
      </c>
      <c r="W120" s="195"/>
      <c r="X120" s="26">
        <v>0</v>
      </c>
      <c r="Y120" s="27">
        <v>0</v>
      </c>
      <c r="Z120" s="28">
        <v>0</v>
      </c>
      <c r="AA120" s="29">
        <v>0</v>
      </c>
      <c r="AB120" s="285" t="s">
        <v>271</v>
      </c>
    </row>
    <row r="121" spans="1:28" s="20" customFormat="1" x14ac:dyDescent="0.3">
      <c r="A121" s="38">
        <v>44680</v>
      </c>
      <c r="B121" s="39">
        <v>6.1</v>
      </c>
      <c r="C121" s="14">
        <v>19.5</v>
      </c>
      <c r="D121" s="14">
        <v>9</v>
      </c>
      <c r="E121" s="14">
        <v>21.7</v>
      </c>
      <c r="F121" s="14">
        <v>0.2</v>
      </c>
      <c r="G121" s="65">
        <f t="shared" si="9"/>
        <v>21.5</v>
      </c>
      <c r="H121" s="65">
        <f t="shared" si="8"/>
        <v>10.9</v>
      </c>
      <c r="I121" s="67">
        <v>10.869305555555556</v>
      </c>
      <c r="J121" s="14">
        <v>11.4</v>
      </c>
      <c r="K121" s="14">
        <v>-0.7</v>
      </c>
      <c r="L121" s="67">
        <v>4.9542361111111131</v>
      </c>
      <c r="M121" s="73">
        <v>96.3</v>
      </c>
      <c r="N121" s="24">
        <v>38.299999999999997</v>
      </c>
      <c r="O121" s="69">
        <v>70.296944444444293</v>
      </c>
      <c r="P121" s="102">
        <v>1026.8920636293401</v>
      </c>
      <c r="Q121" s="21">
        <v>1022.08808066915</v>
      </c>
      <c r="R121" s="56">
        <v>1024.7319873658678</v>
      </c>
      <c r="S121" s="61">
        <v>7.8000000062400003</v>
      </c>
      <c r="T121" s="51">
        <v>5.0600000040479998</v>
      </c>
      <c r="U121" s="25">
        <v>1.441314896834764</v>
      </c>
      <c r="V121" s="192" t="s">
        <v>213</v>
      </c>
      <c r="W121" s="195"/>
      <c r="X121" s="26">
        <v>0</v>
      </c>
      <c r="Y121" s="27">
        <v>0</v>
      </c>
      <c r="Z121" s="28">
        <v>0</v>
      </c>
      <c r="AA121" s="29">
        <v>0</v>
      </c>
      <c r="AB121" s="285" t="s">
        <v>281</v>
      </c>
    </row>
    <row r="122" spans="1:28" s="281" customFormat="1" ht="15" thickBot="1" x14ac:dyDescent="0.35">
      <c r="A122" s="38">
        <v>44681</v>
      </c>
      <c r="B122" s="40">
        <v>7.5</v>
      </c>
      <c r="C122" s="22">
        <v>19.399999999999999</v>
      </c>
      <c r="D122" s="22">
        <v>9</v>
      </c>
      <c r="E122" s="22">
        <v>21.5</v>
      </c>
      <c r="F122" s="22">
        <v>1.4</v>
      </c>
      <c r="G122" s="280">
        <f t="shared" si="9"/>
        <v>20.100000000000001</v>
      </c>
      <c r="H122" s="280">
        <f>(B122+C122+2*D122)/4</f>
        <v>11.225</v>
      </c>
      <c r="I122" s="68">
        <v>11.485625000000022</v>
      </c>
      <c r="J122" s="22">
        <v>10.6</v>
      </c>
      <c r="K122" s="22">
        <v>0.3</v>
      </c>
      <c r="L122" s="68">
        <v>4.2640277777777849</v>
      </c>
      <c r="M122" s="74">
        <v>95.4</v>
      </c>
      <c r="N122" s="57">
        <v>32.700000000000003</v>
      </c>
      <c r="O122" s="70">
        <v>65.585347222222225</v>
      </c>
      <c r="P122" s="103">
        <v>1025.12126774276</v>
      </c>
      <c r="Q122" s="58">
        <v>1018.71737477899</v>
      </c>
      <c r="R122" s="59">
        <v>1021.7635493334271</v>
      </c>
      <c r="S122" s="63">
        <v>5.4000000043199998</v>
      </c>
      <c r="T122" s="53">
        <v>3.7166666696399999</v>
      </c>
      <c r="U122" s="41">
        <v>0.97414793406430866</v>
      </c>
      <c r="V122" s="196" t="s">
        <v>213</v>
      </c>
      <c r="W122" s="197"/>
      <c r="X122" s="43">
        <v>0</v>
      </c>
      <c r="Y122" s="44">
        <v>0</v>
      </c>
      <c r="Z122" s="45">
        <v>0</v>
      </c>
      <c r="AA122" s="46">
        <v>0</v>
      </c>
      <c r="AB122" s="286" t="s">
        <v>269</v>
      </c>
    </row>
    <row r="123" spans="1:28" s="361" customFormat="1" x14ac:dyDescent="0.3">
      <c r="A123" s="38">
        <v>44682</v>
      </c>
      <c r="B123" s="344">
        <v>7.4</v>
      </c>
      <c r="C123" s="345">
        <v>21</v>
      </c>
      <c r="D123" s="345">
        <v>10.3</v>
      </c>
      <c r="E123" s="345">
        <v>23.8</v>
      </c>
      <c r="F123" s="345">
        <v>0.8</v>
      </c>
      <c r="G123" s="346">
        <f t="shared" si="9"/>
        <v>23</v>
      </c>
      <c r="H123" s="346">
        <f>(B123+C123+2*D123)/4</f>
        <v>12.25</v>
      </c>
      <c r="I123" s="347">
        <v>11.847015425888658</v>
      </c>
      <c r="J123" s="345">
        <v>12.3</v>
      </c>
      <c r="K123" s="345">
        <v>-0.4</v>
      </c>
      <c r="L123" s="347">
        <v>5.2361502347417801</v>
      </c>
      <c r="M123" s="348">
        <v>94.1</v>
      </c>
      <c r="N123" s="349">
        <v>34.4</v>
      </c>
      <c r="O123" s="350">
        <v>67.673775989268961</v>
      </c>
      <c r="P123" s="351">
        <v>1021.65457038421</v>
      </c>
      <c r="Q123" s="352">
        <v>1016.26233978149</v>
      </c>
      <c r="R123" s="353">
        <v>1019.0397301921729</v>
      </c>
      <c r="S123" s="317">
        <v>5.10000000408</v>
      </c>
      <c r="T123" s="318">
        <v>3.093333335808</v>
      </c>
      <c r="U123" s="318">
        <v>0.81336969762039701</v>
      </c>
      <c r="V123" s="319" t="s">
        <v>248</v>
      </c>
      <c r="W123" s="355"/>
      <c r="X123" s="356">
        <v>0</v>
      </c>
      <c r="Y123" s="357">
        <v>0</v>
      </c>
      <c r="Z123" s="358">
        <v>0</v>
      </c>
      <c r="AA123" s="359">
        <v>0</v>
      </c>
      <c r="AB123" s="360" t="s">
        <v>271</v>
      </c>
    </row>
    <row r="124" spans="1:28" s="20" customFormat="1" x14ac:dyDescent="0.3">
      <c r="A124" s="38">
        <v>44683</v>
      </c>
      <c r="B124" s="39">
        <v>10</v>
      </c>
      <c r="C124" s="14">
        <v>18.7</v>
      </c>
      <c r="D124" s="14">
        <v>9.1999999999999993</v>
      </c>
      <c r="E124" s="14">
        <v>23.2</v>
      </c>
      <c r="F124" s="14">
        <v>4.7</v>
      </c>
      <c r="G124" s="65">
        <f t="shared" ref="G124:G147" si="10">E124-F124</f>
        <v>18.5</v>
      </c>
      <c r="H124" s="65">
        <f t="shared" ref="H124:H151" si="11">(B124+C124+2*D124)/4</f>
        <v>11.774999999999999</v>
      </c>
      <c r="I124" s="67">
        <v>12.90645833333333</v>
      </c>
      <c r="J124" s="14">
        <v>12</v>
      </c>
      <c r="K124" s="14">
        <v>3.3</v>
      </c>
      <c r="L124" s="67">
        <v>6.7870833333333342</v>
      </c>
      <c r="M124" s="73">
        <v>92.8</v>
      </c>
      <c r="N124" s="24">
        <v>34.4</v>
      </c>
      <c r="O124" s="69">
        <v>69.89180555555555</v>
      </c>
      <c r="P124" s="102">
        <v>1018.51480703893</v>
      </c>
      <c r="Q124" s="21">
        <v>1013.40930461605</v>
      </c>
      <c r="R124" s="56">
        <v>1016.0786986071147</v>
      </c>
      <c r="S124" s="61">
        <v>7.1000000056800001</v>
      </c>
      <c r="T124" s="51">
        <v>4.8766666705679995</v>
      </c>
      <c r="U124" s="25">
        <v>1.0437484564811559</v>
      </c>
      <c r="V124" s="192" t="s">
        <v>214</v>
      </c>
      <c r="W124" s="193"/>
      <c r="X124" s="16">
        <v>0</v>
      </c>
      <c r="Y124" s="17">
        <v>0</v>
      </c>
      <c r="Z124" s="18">
        <v>0</v>
      </c>
      <c r="AA124" s="42">
        <v>0</v>
      </c>
      <c r="AB124" s="284" t="s">
        <v>269</v>
      </c>
    </row>
    <row r="125" spans="1:28" s="20" customFormat="1" x14ac:dyDescent="0.3">
      <c r="A125" s="38">
        <v>44684</v>
      </c>
      <c r="B125" s="39">
        <v>8</v>
      </c>
      <c r="C125" s="14">
        <v>20.3</v>
      </c>
      <c r="D125" s="14">
        <v>12.4</v>
      </c>
      <c r="E125" s="14">
        <v>23.3</v>
      </c>
      <c r="F125" s="14">
        <v>2.8</v>
      </c>
      <c r="G125" s="65">
        <f t="shared" si="10"/>
        <v>20.5</v>
      </c>
      <c r="H125" s="65">
        <f t="shared" si="11"/>
        <v>13.275</v>
      </c>
      <c r="I125" s="67">
        <v>12.458819444444448</v>
      </c>
      <c r="J125" s="14">
        <v>14.9</v>
      </c>
      <c r="K125" s="14">
        <v>1.7</v>
      </c>
      <c r="L125" s="67">
        <v>7.919027777777762</v>
      </c>
      <c r="M125" s="73">
        <v>95.8</v>
      </c>
      <c r="N125" s="24">
        <v>39.299999999999997</v>
      </c>
      <c r="O125" s="69">
        <v>76.257013888888906</v>
      </c>
      <c r="P125" s="102">
        <v>1015.71120023377</v>
      </c>
      <c r="Q125" s="21">
        <v>1012.35206747335</v>
      </c>
      <c r="R125" s="56">
        <v>1014.2097596288199</v>
      </c>
      <c r="S125" s="61">
        <v>9.5000000076000006</v>
      </c>
      <c r="T125" s="51">
        <v>5.8433333380079997</v>
      </c>
      <c r="U125" s="25">
        <v>0.95694444521000044</v>
      </c>
      <c r="V125" s="192" t="s">
        <v>213</v>
      </c>
      <c r="W125" s="193" t="s">
        <v>210</v>
      </c>
      <c r="X125" s="16">
        <v>12</v>
      </c>
      <c r="Y125" s="17">
        <v>1.1000000000000001</v>
      </c>
      <c r="Z125" s="18">
        <v>0</v>
      </c>
      <c r="AA125" s="42">
        <v>0</v>
      </c>
      <c r="AB125" s="284" t="s">
        <v>292</v>
      </c>
    </row>
    <row r="126" spans="1:28" s="20" customFormat="1" x14ac:dyDescent="0.3">
      <c r="A126" s="38">
        <v>44685</v>
      </c>
      <c r="B126" s="39">
        <v>10.7</v>
      </c>
      <c r="C126" s="14">
        <v>21.7</v>
      </c>
      <c r="D126" s="14">
        <v>10.1</v>
      </c>
      <c r="E126" s="14">
        <v>23</v>
      </c>
      <c r="F126" s="14">
        <v>8.4</v>
      </c>
      <c r="G126" s="65">
        <f t="shared" si="10"/>
        <v>14.6</v>
      </c>
      <c r="H126" s="65">
        <f t="shared" si="11"/>
        <v>13.149999999999999</v>
      </c>
      <c r="I126" s="67">
        <v>14.305347222222244</v>
      </c>
      <c r="J126" s="14">
        <v>13.6</v>
      </c>
      <c r="K126" s="14">
        <v>6</v>
      </c>
      <c r="L126" s="67">
        <v>8.8627083333333232</v>
      </c>
      <c r="M126" s="73">
        <v>94.4</v>
      </c>
      <c r="N126" s="24">
        <v>40.799999999999997</v>
      </c>
      <c r="O126" s="69">
        <v>72.609305555555508</v>
      </c>
      <c r="P126" s="102">
        <v>1019.52236898613</v>
      </c>
      <c r="Q126" s="21">
        <v>1015.39679451032</v>
      </c>
      <c r="R126" s="56">
        <v>1016.8631085196132</v>
      </c>
      <c r="S126" s="62">
        <v>5.8000000046400002</v>
      </c>
      <c r="T126" s="52">
        <v>3.503333336136</v>
      </c>
      <c r="U126" s="19">
        <v>0.97006595714337751</v>
      </c>
      <c r="V126" s="192" t="s">
        <v>214</v>
      </c>
      <c r="W126" s="194"/>
      <c r="X126" s="16">
        <v>0</v>
      </c>
      <c r="Y126" s="17">
        <v>0</v>
      </c>
      <c r="Z126" s="18">
        <v>0</v>
      </c>
      <c r="AA126" s="42">
        <v>0</v>
      </c>
      <c r="AB126" s="284" t="s">
        <v>269</v>
      </c>
    </row>
    <row r="127" spans="1:28" s="20" customFormat="1" x14ac:dyDescent="0.3">
      <c r="A127" s="38">
        <v>44686</v>
      </c>
      <c r="B127" s="39">
        <v>8.8000000000000007</v>
      </c>
      <c r="C127" s="14">
        <v>19.8</v>
      </c>
      <c r="D127" s="14">
        <v>11.8</v>
      </c>
      <c r="E127" s="14">
        <v>21.4</v>
      </c>
      <c r="F127" s="14">
        <v>5.3</v>
      </c>
      <c r="G127" s="65">
        <f t="shared" si="10"/>
        <v>16.099999999999998</v>
      </c>
      <c r="H127" s="65">
        <f t="shared" si="11"/>
        <v>13.05</v>
      </c>
      <c r="I127" s="67">
        <v>12.50944444444443</v>
      </c>
      <c r="J127" s="14">
        <v>15.1</v>
      </c>
      <c r="K127" s="14">
        <v>4.2</v>
      </c>
      <c r="L127" s="67">
        <v>9.3945833333333297</v>
      </c>
      <c r="M127" s="73">
        <v>94.3</v>
      </c>
      <c r="N127" s="24">
        <v>58.7</v>
      </c>
      <c r="O127" s="69">
        <v>82.362847222222186</v>
      </c>
      <c r="P127" s="102">
        <v>1022.09962847938</v>
      </c>
      <c r="Q127" s="21">
        <v>1019.0105605679699</v>
      </c>
      <c r="R127" s="56">
        <v>1020.3815061499974</v>
      </c>
      <c r="S127" s="61">
        <v>6.10000000488</v>
      </c>
      <c r="T127" s="51">
        <v>3.6416666695800002</v>
      </c>
      <c r="U127" s="25">
        <v>1.0057441582461675</v>
      </c>
      <c r="V127" s="192" t="s">
        <v>248</v>
      </c>
      <c r="W127" s="194"/>
      <c r="X127" s="16">
        <v>0</v>
      </c>
      <c r="Y127" s="17">
        <v>0</v>
      </c>
      <c r="Z127" s="18">
        <v>0</v>
      </c>
      <c r="AA127" s="42">
        <v>0</v>
      </c>
      <c r="AB127" s="284" t="s">
        <v>231</v>
      </c>
    </row>
    <row r="128" spans="1:28" s="20" customFormat="1" x14ac:dyDescent="0.3">
      <c r="A128" s="38">
        <v>44687</v>
      </c>
      <c r="B128" s="39">
        <v>13.5</v>
      </c>
      <c r="C128" s="14">
        <v>19.7</v>
      </c>
      <c r="D128" s="14">
        <v>12.6</v>
      </c>
      <c r="E128" s="14">
        <v>22.8</v>
      </c>
      <c r="F128" s="14">
        <v>8.4</v>
      </c>
      <c r="G128" s="65">
        <f t="shared" si="10"/>
        <v>14.4</v>
      </c>
      <c r="H128" s="65">
        <f t="shared" si="11"/>
        <v>14.600000000000001</v>
      </c>
      <c r="I128" s="67">
        <v>14.105416666666706</v>
      </c>
      <c r="J128" s="14">
        <v>15.5</v>
      </c>
      <c r="K128" s="14">
        <v>7.5</v>
      </c>
      <c r="L128" s="67">
        <v>11.493263888888906</v>
      </c>
      <c r="M128" s="73">
        <v>96</v>
      </c>
      <c r="N128" s="24">
        <v>55.4</v>
      </c>
      <c r="O128" s="69">
        <v>85.612430555555804</v>
      </c>
      <c r="P128" s="102">
        <v>1022.5681324002001</v>
      </c>
      <c r="Q128" s="21">
        <v>1020.10454019586</v>
      </c>
      <c r="R128" s="56">
        <v>1021.6424803975816</v>
      </c>
      <c r="S128" s="61">
        <v>8.5000000068000006</v>
      </c>
      <c r="T128" s="51">
        <v>6.0233333381519998</v>
      </c>
      <c r="U128" s="25">
        <v>0.96825223994187515</v>
      </c>
      <c r="V128" s="192" t="s">
        <v>214</v>
      </c>
      <c r="W128" s="194" t="s">
        <v>210</v>
      </c>
      <c r="X128" s="16">
        <v>108</v>
      </c>
      <c r="Y128" s="17">
        <v>18.399999999999999</v>
      </c>
      <c r="Z128" s="18">
        <v>0</v>
      </c>
      <c r="AA128" s="42">
        <v>0</v>
      </c>
      <c r="AB128" s="284" t="s">
        <v>294</v>
      </c>
    </row>
    <row r="129" spans="1:28" s="20" customFormat="1" x14ac:dyDescent="0.3">
      <c r="A129" s="38">
        <v>44688</v>
      </c>
      <c r="B129" s="39">
        <v>11.7</v>
      </c>
      <c r="C129" s="14">
        <v>22.9</v>
      </c>
      <c r="D129" s="14">
        <v>12.3</v>
      </c>
      <c r="E129" s="14">
        <v>23.8</v>
      </c>
      <c r="F129" s="14">
        <v>10.6</v>
      </c>
      <c r="G129" s="65">
        <f t="shared" si="10"/>
        <v>13.200000000000001</v>
      </c>
      <c r="H129" s="65">
        <f t="shared" si="11"/>
        <v>14.799999999999999</v>
      </c>
      <c r="I129" s="67">
        <v>14.87236111111112</v>
      </c>
      <c r="J129" s="14">
        <v>17.8</v>
      </c>
      <c r="K129" s="14">
        <v>10.1</v>
      </c>
      <c r="L129" s="67">
        <v>12.251250000000047</v>
      </c>
      <c r="M129" s="73">
        <v>97.8</v>
      </c>
      <c r="N129" s="24">
        <v>53</v>
      </c>
      <c r="O129" s="69">
        <v>85.552777777777862</v>
      </c>
      <c r="P129" s="102">
        <v>1022.1212778983</v>
      </c>
      <c r="Q129" s="21">
        <v>1019.48331514225</v>
      </c>
      <c r="R129" s="56">
        <v>1021.0225577723292</v>
      </c>
      <c r="S129" s="61">
        <v>5.4000000043199998</v>
      </c>
      <c r="T129" s="51">
        <v>2.7433333355279999</v>
      </c>
      <c r="U129" s="25">
        <v>0.78585088419198157</v>
      </c>
      <c r="V129" s="192" t="s">
        <v>250</v>
      </c>
      <c r="W129" s="194" t="s">
        <v>210</v>
      </c>
      <c r="X129" s="16">
        <v>6</v>
      </c>
      <c r="Y129" s="17">
        <v>0.1</v>
      </c>
      <c r="Z129" s="18">
        <v>0</v>
      </c>
      <c r="AA129" s="42">
        <v>0</v>
      </c>
      <c r="AB129" s="284" t="s">
        <v>293</v>
      </c>
    </row>
    <row r="130" spans="1:28" s="20" customFormat="1" x14ac:dyDescent="0.3">
      <c r="A130" s="38">
        <v>44689</v>
      </c>
      <c r="B130" s="39">
        <v>13.1</v>
      </c>
      <c r="C130" s="14">
        <v>23.1</v>
      </c>
      <c r="D130" s="14">
        <v>12.8</v>
      </c>
      <c r="E130" s="14">
        <v>23.9</v>
      </c>
      <c r="F130" s="14">
        <v>10</v>
      </c>
      <c r="G130" s="65">
        <f t="shared" si="10"/>
        <v>13.899999999999999</v>
      </c>
      <c r="H130" s="65">
        <f t="shared" si="11"/>
        <v>15.450000000000001</v>
      </c>
      <c r="I130" s="67">
        <v>15.972237762237807</v>
      </c>
      <c r="J130" s="14">
        <v>17</v>
      </c>
      <c r="K130" s="14">
        <v>9.1999999999999993</v>
      </c>
      <c r="L130" s="67">
        <v>11.882377622377589</v>
      </c>
      <c r="M130" s="73">
        <v>96.8</v>
      </c>
      <c r="N130" s="24">
        <v>51</v>
      </c>
      <c r="O130" s="69">
        <v>78.516993006993161</v>
      </c>
      <c r="P130" s="102">
        <v>1023.22756320179</v>
      </c>
      <c r="Q130" s="21">
        <v>1019.6955167234401</v>
      </c>
      <c r="R130" s="56">
        <v>1021.2739647910687</v>
      </c>
      <c r="S130" s="61">
        <v>6.10000000488</v>
      </c>
      <c r="T130" s="51">
        <v>4.2666666700800011</v>
      </c>
      <c r="U130" s="25">
        <v>0.95090909166981974</v>
      </c>
      <c r="V130" s="192" t="s">
        <v>250</v>
      </c>
      <c r="W130" s="194" t="s">
        <v>261</v>
      </c>
      <c r="X130" s="16">
        <v>0</v>
      </c>
      <c r="Y130" s="17">
        <v>0</v>
      </c>
      <c r="Z130" s="18">
        <v>0</v>
      </c>
      <c r="AA130" s="42">
        <v>0</v>
      </c>
      <c r="AB130" s="284" t="s">
        <v>283</v>
      </c>
    </row>
    <row r="131" spans="1:28" s="20" customFormat="1" x14ac:dyDescent="0.3">
      <c r="A131" s="38">
        <v>44690</v>
      </c>
      <c r="B131" s="39">
        <v>14.2</v>
      </c>
      <c r="C131" s="14">
        <v>22.8</v>
      </c>
      <c r="D131" s="14">
        <v>12</v>
      </c>
      <c r="E131" s="14">
        <v>24.2</v>
      </c>
      <c r="F131" s="14">
        <v>6.6</v>
      </c>
      <c r="G131" s="65">
        <f t="shared" si="10"/>
        <v>17.600000000000001</v>
      </c>
      <c r="H131" s="65">
        <f t="shared" si="11"/>
        <v>15.25</v>
      </c>
      <c r="I131" s="67">
        <v>15.410486111111105</v>
      </c>
      <c r="J131" s="14">
        <v>16.899999999999999</v>
      </c>
      <c r="K131" s="14">
        <v>5.7</v>
      </c>
      <c r="L131" s="67">
        <v>10.556805555555574</v>
      </c>
      <c r="M131" s="73">
        <v>96.9</v>
      </c>
      <c r="N131" s="24">
        <v>49.9</v>
      </c>
      <c r="O131" s="69">
        <v>74.938888888888883</v>
      </c>
      <c r="P131" s="102">
        <v>1025.1519572090499</v>
      </c>
      <c r="Q131" s="21">
        <v>1021.99925230402</v>
      </c>
      <c r="R131" s="56">
        <v>1023.7059728531601</v>
      </c>
      <c r="S131" s="61">
        <v>9.2000000073599999</v>
      </c>
      <c r="T131" s="51">
        <v>5.9433333380880002</v>
      </c>
      <c r="U131" s="25">
        <v>1.9737611811777471</v>
      </c>
      <c r="V131" s="192" t="s">
        <v>214</v>
      </c>
      <c r="W131" s="194"/>
      <c r="X131" s="16">
        <v>0</v>
      </c>
      <c r="Y131" s="17">
        <v>0</v>
      </c>
      <c r="Z131" s="18">
        <v>0</v>
      </c>
      <c r="AA131" s="42">
        <v>0</v>
      </c>
      <c r="AB131" s="284" t="s">
        <v>303</v>
      </c>
    </row>
    <row r="132" spans="1:28" s="20" customFormat="1" x14ac:dyDescent="0.3">
      <c r="A132" s="38">
        <v>44691</v>
      </c>
      <c r="B132" s="39">
        <v>13.1</v>
      </c>
      <c r="C132" s="14">
        <v>23.9</v>
      </c>
      <c r="D132" s="14">
        <v>10.4</v>
      </c>
      <c r="E132" s="14">
        <v>24.4</v>
      </c>
      <c r="F132" s="14">
        <v>4.5</v>
      </c>
      <c r="G132" s="65">
        <f t="shared" si="10"/>
        <v>19.899999999999999</v>
      </c>
      <c r="H132" s="65">
        <f t="shared" si="11"/>
        <v>14.45</v>
      </c>
      <c r="I132" s="67">
        <v>14.484930555555557</v>
      </c>
      <c r="J132" s="14">
        <v>14.7</v>
      </c>
      <c r="K132" s="14">
        <v>3.6</v>
      </c>
      <c r="L132" s="67">
        <v>7.6448611111111049</v>
      </c>
      <c r="M132" s="73">
        <v>97.2</v>
      </c>
      <c r="N132" s="24">
        <v>34.799999999999997</v>
      </c>
      <c r="O132" s="69">
        <v>67.538749999999965</v>
      </c>
      <c r="P132" s="102">
        <v>1025.1576535740201</v>
      </c>
      <c r="Q132" s="21">
        <v>1017.58659832964</v>
      </c>
      <c r="R132" s="56">
        <v>1021.1319694292781</v>
      </c>
      <c r="S132" s="61">
        <v>7.1000000056800001</v>
      </c>
      <c r="T132" s="51">
        <v>3.5183333361480003</v>
      </c>
      <c r="U132" s="25">
        <v>1.2702751639416336</v>
      </c>
      <c r="V132" s="192" t="s">
        <v>214</v>
      </c>
      <c r="W132" s="194"/>
      <c r="X132" s="16">
        <v>0</v>
      </c>
      <c r="Y132" s="17">
        <v>0</v>
      </c>
      <c r="Z132" s="18">
        <v>0</v>
      </c>
      <c r="AA132" s="42">
        <v>0</v>
      </c>
      <c r="AB132" s="284" t="s">
        <v>304</v>
      </c>
    </row>
    <row r="133" spans="1:28" s="20" customFormat="1" x14ac:dyDescent="0.3">
      <c r="A133" s="38">
        <v>44692</v>
      </c>
      <c r="B133" s="39">
        <v>10.6</v>
      </c>
      <c r="C133" s="14">
        <v>25.7</v>
      </c>
      <c r="D133" s="14">
        <v>14.3</v>
      </c>
      <c r="E133" s="14">
        <v>26.7</v>
      </c>
      <c r="F133" s="14">
        <v>2.9</v>
      </c>
      <c r="G133" s="65">
        <f t="shared" si="10"/>
        <v>23.8</v>
      </c>
      <c r="H133" s="65">
        <f t="shared" si="11"/>
        <v>16.225000000000001</v>
      </c>
      <c r="I133" s="67">
        <v>15.541111111111118</v>
      </c>
      <c r="J133" s="14">
        <v>14.8</v>
      </c>
      <c r="K133" s="14">
        <v>1.9</v>
      </c>
      <c r="L133" s="67">
        <v>8.9647222222222211</v>
      </c>
      <c r="M133" s="73">
        <v>95.3</v>
      </c>
      <c r="N133" s="24">
        <v>40.299999999999997</v>
      </c>
      <c r="O133" s="69">
        <v>68.717222222222148</v>
      </c>
      <c r="P133" s="102">
        <v>1019.83818797705</v>
      </c>
      <c r="Q133" s="21">
        <v>1014.0944223008599</v>
      </c>
      <c r="R133" s="56">
        <v>1017.6534129190223</v>
      </c>
      <c r="S133" s="61">
        <v>5.8000000046400002</v>
      </c>
      <c r="T133" s="51">
        <v>3.513333336144</v>
      </c>
      <c r="U133" s="25">
        <v>1.003274104126082</v>
      </c>
      <c r="V133" s="192" t="s">
        <v>248</v>
      </c>
      <c r="W133" s="194"/>
      <c r="X133" s="16">
        <v>0</v>
      </c>
      <c r="Y133" s="17">
        <v>0</v>
      </c>
      <c r="Z133" s="18">
        <v>0</v>
      </c>
      <c r="AA133" s="42">
        <v>0</v>
      </c>
      <c r="AB133" s="284" t="s">
        <v>266</v>
      </c>
    </row>
    <row r="134" spans="1:28" s="20" customFormat="1" x14ac:dyDescent="0.3">
      <c r="A134" s="38">
        <v>44693</v>
      </c>
      <c r="B134" s="39">
        <v>15.4</v>
      </c>
      <c r="C134" s="14">
        <v>26.5</v>
      </c>
      <c r="D134" s="14">
        <v>17</v>
      </c>
      <c r="E134" s="14">
        <v>29.1</v>
      </c>
      <c r="F134" s="14">
        <v>6.9</v>
      </c>
      <c r="G134" s="65">
        <f t="shared" si="10"/>
        <v>22.200000000000003</v>
      </c>
      <c r="H134" s="65">
        <f t="shared" si="11"/>
        <v>18.975000000000001</v>
      </c>
      <c r="I134" s="67">
        <v>18.455972222222233</v>
      </c>
      <c r="J134" s="14">
        <v>18.600000000000001</v>
      </c>
      <c r="K134" s="14">
        <v>6</v>
      </c>
      <c r="L134" s="67">
        <v>12.715625000000021</v>
      </c>
      <c r="M134" s="73">
        <v>96.8</v>
      </c>
      <c r="N134" s="24">
        <v>45.1</v>
      </c>
      <c r="O134" s="69">
        <v>72.110763888888783</v>
      </c>
      <c r="P134" s="102">
        <v>1017.60211341004</v>
      </c>
      <c r="Q134" s="21">
        <v>1011.54872046874</v>
      </c>
      <c r="R134" s="56">
        <v>1014.7664319698248</v>
      </c>
      <c r="S134" s="61">
        <v>10.900000008719999</v>
      </c>
      <c r="T134" s="51">
        <v>7.5833333394000011</v>
      </c>
      <c r="U134" s="25">
        <v>1.9581848435717677</v>
      </c>
      <c r="V134" s="192" t="s">
        <v>251</v>
      </c>
      <c r="W134" s="194" t="s">
        <v>261</v>
      </c>
      <c r="X134" s="16">
        <v>0</v>
      </c>
      <c r="Y134" s="17">
        <v>0</v>
      </c>
      <c r="Z134" s="18">
        <v>0</v>
      </c>
      <c r="AA134" s="42">
        <v>0</v>
      </c>
      <c r="AB134" s="284" t="s">
        <v>305</v>
      </c>
    </row>
    <row r="135" spans="1:28" s="20" customFormat="1" x14ac:dyDescent="0.3">
      <c r="A135" s="38">
        <v>44694</v>
      </c>
      <c r="B135" s="39">
        <v>13</v>
      </c>
      <c r="C135" s="14">
        <v>20.8</v>
      </c>
      <c r="D135" s="14">
        <v>13.5</v>
      </c>
      <c r="E135" s="14">
        <v>23.1</v>
      </c>
      <c r="F135" s="14">
        <v>9.9</v>
      </c>
      <c r="G135" s="65">
        <f t="shared" si="10"/>
        <v>13.200000000000001</v>
      </c>
      <c r="H135" s="65">
        <f t="shared" si="11"/>
        <v>15.2</v>
      </c>
      <c r="I135" s="67">
        <v>15.7363888888889</v>
      </c>
      <c r="J135" s="14">
        <v>17.7</v>
      </c>
      <c r="K135" s="14">
        <v>9</v>
      </c>
      <c r="L135" s="67">
        <v>13.138125000000004</v>
      </c>
      <c r="M135" s="73">
        <v>95.6</v>
      </c>
      <c r="N135" s="24">
        <v>59.8</v>
      </c>
      <c r="O135" s="69">
        <v>85.45069444444465</v>
      </c>
      <c r="P135" s="102">
        <v>1017.72087592097</v>
      </c>
      <c r="Q135" s="21">
        <v>1012.1491772904</v>
      </c>
      <c r="R135" s="56">
        <v>1015.5239792900186</v>
      </c>
      <c r="S135" s="61">
        <v>9.2000000073599999</v>
      </c>
      <c r="T135" s="51">
        <v>5.8600000046879996</v>
      </c>
      <c r="U135" s="25">
        <v>1.1569767451116302</v>
      </c>
      <c r="V135" s="192" t="s">
        <v>248</v>
      </c>
      <c r="W135" s="195" t="s">
        <v>210</v>
      </c>
      <c r="X135" s="26">
        <v>18</v>
      </c>
      <c r="Y135" s="27">
        <v>1.1000000000000001</v>
      </c>
      <c r="Z135" s="28">
        <v>0</v>
      </c>
      <c r="AA135" s="29">
        <v>0</v>
      </c>
      <c r="AB135" s="285" t="s">
        <v>306</v>
      </c>
    </row>
    <row r="136" spans="1:28" s="20" customFormat="1" x14ac:dyDescent="0.3">
      <c r="A136" s="38">
        <v>44695</v>
      </c>
      <c r="B136" s="39">
        <v>14.8</v>
      </c>
      <c r="C136" s="14">
        <v>24.3</v>
      </c>
      <c r="D136" s="14">
        <v>11.7</v>
      </c>
      <c r="E136" s="14">
        <v>24.9</v>
      </c>
      <c r="F136" s="14">
        <v>8.6</v>
      </c>
      <c r="G136" s="65">
        <f t="shared" si="10"/>
        <v>16.299999999999997</v>
      </c>
      <c r="H136" s="65">
        <f t="shared" si="11"/>
        <v>15.625</v>
      </c>
      <c r="I136" s="67">
        <v>16.292291666666674</v>
      </c>
      <c r="J136" s="14">
        <v>15.8</v>
      </c>
      <c r="K136" s="14">
        <v>6.9</v>
      </c>
      <c r="L136" s="67">
        <v>10.58118055555558</v>
      </c>
      <c r="M136" s="73">
        <v>97.9</v>
      </c>
      <c r="N136" s="24">
        <v>42.2</v>
      </c>
      <c r="O136" s="69">
        <v>71.792499999999848</v>
      </c>
      <c r="P136" s="102">
        <v>1019.11382070037</v>
      </c>
      <c r="Q136" s="21">
        <v>1015.3625275975299</v>
      </c>
      <c r="R136" s="56">
        <v>1017.314873609283</v>
      </c>
      <c r="S136" s="61">
        <v>6.10000000488</v>
      </c>
      <c r="T136" s="51">
        <v>3.9300000031440008</v>
      </c>
      <c r="U136" s="25">
        <v>1.4424231432502872</v>
      </c>
      <c r="V136" s="192" t="s">
        <v>215</v>
      </c>
      <c r="W136" s="195"/>
      <c r="X136" s="26">
        <v>0</v>
      </c>
      <c r="Y136" s="27">
        <v>0</v>
      </c>
      <c r="Z136" s="28">
        <v>0</v>
      </c>
      <c r="AA136" s="29">
        <v>0</v>
      </c>
      <c r="AB136" s="285" t="s">
        <v>318</v>
      </c>
    </row>
    <row r="137" spans="1:28" s="20" customFormat="1" x14ac:dyDescent="0.3">
      <c r="A137" s="38">
        <v>44696</v>
      </c>
      <c r="B137" s="39">
        <v>12.9</v>
      </c>
      <c r="C137" s="14">
        <v>24</v>
      </c>
      <c r="D137" s="14">
        <v>11.7</v>
      </c>
      <c r="E137" s="14">
        <v>26.2</v>
      </c>
      <c r="F137" s="14">
        <v>6.3</v>
      </c>
      <c r="G137" s="65">
        <f t="shared" si="10"/>
        <v>19.899999999999999</v>
      </c>
      <c r="H137" s="65">
        <f t="shared" si="11"/>
        <v>15.074999999999999</v>
      </c>
      <c r="I137" s="67">
        <v>15.586458333333336</v>
      </c>
      <c r="J137" s="14">
        <v>15.9</v>
      </c>
      <c r="K137" s="14">
        <v>5.2</v>
      </c>
      <c r="L137" s="67">
        <v>9.6247916666666793</v>
      </c>
      <c r="M137" s="73">
        <v>95.5</v>
      </c>
      <c r="N137" s="24">
        <v>43.3</v>
      </c>
      <c r="O137" s="69">
        <v>70.677013888888879</v>
      </c>
      <c r="P137" s="102">
        <v>1020.6816594826701</v>
      </c>
      <c r="Q137" s="21">
        <v>1016.58955180007</v>
      </c>
      <c r="R137" s="56">
        <v>1018.6275987856526</v>
      </c>
      <c r="S137" s="61">
        <v>6.10000000488</v>
      </c>
      <c r="T137" s="51">
        <v>3.6800000029440008</v>
      </c>
      <c r="U137" s="25">
        <v>1.3020712219718922</v>
      </c>
      <c r="V137" s="192" t="s">
        <v>214</v>
      </c>
      <c r="W137" s="195"/>
      <c r="X137" s="26">
        <v>0</v>
      </c>
      <c r="Y137" s="27">
        <v>0</v>
      </c>
      <c r="Z137" s="28">
        <v>0</v>
      </c>
      <c r="AA137" s="29">
        <v>0</v>
      </c>
      <c r="AB137" s="285" t="s">
        <v>303</v>
      </c>
    </row>
    <row r="138" spans="1:28" s="20" customFormat="1" x14ac:dyDescent="0.3">
      <c r="A138" s="38">
        <v>44697</v>
      </c>
      <c r="B138" s="39">
        <v>11.5</v>
      </c>
      <c r="C138" s="14">
        <v>24.9</v>
      </c>
      <c r="D138" s="14">
        <v>12.1</v>
      </c>
      <c r="E138" s="14">
        <v>26.2</v>
      </c>
      <c r="F138" s="14">
        <v>4</v>
      </c>
      <c r="G138" s="65">
        <f t="shared" si="10"/>
        <v>22.2</v>
      </c>
      <c r="H138" s="65">
        <f t="shared" si="11"/>
        <v>15.149999999999999</v>
      </c>
      <c r="I138" s="67">
        <v>15.128750000000016</v>
      </c>
      <c r="J138" s="14">
        <v>14.3</v>
      </c>
      <c r="K138" s="14">
        <v>3</v>
      </c>
      <c r="L138" s="67">
        <v>8.0811111111111451</v>
      </c>
      <c r="M138" s="73">
        <v>96.2</v>
      </c>
      <c r="N138" s="24">
        <v>35.700000000000003</v>
      </c>
      <c r="O138" s="69">
        <v>67.177430555555503</v>
      </c>
      <c r="P138" s="102">
        <v>1021.03399537562</v>
      </c>
      <c r="Q138" s="21">
        <v>1015.97939949225</v>
      </c>
      <c r="R138" s="56">
        <v>1018.6356485229534</v>
      </c>
      <c r="S138" s="61">
        <v>4.4000000035199998</v>
      </c>
      <c r="T138" s="51">
        <v>3.0716666691240002</v>
      </c>
      <c r="U138" s="25">
        <v>1.0577769723024379</v>
      </c>
      <c r="V138" s="192" t="s">
        <v>213</v>
      </c>
      <c r="W138" s="195"/>
      <c r="X138" s="26">
        <v>0</v>
      </c>
      <c r="Y138" s="27">
        <v>0</v>
      </c>
      <c r="Z138" s="28">
        <v>0</v>
      </c>
      <c r="AA138" s="29">
        <v>0</v>
      </c>
      <c r="AB138" s="285" t="s">
        <v>281</v>
      </c>
    </row>
    <row r="139" spans="1:28" s="20" customFormat="1" x14ac:dyDescent="0.3">
      <c r="A139" s="38">
        <v>44698</v>
      </c>
      <c r="B139" s="39">
        <v>13</v>
      </c>
      <c r="C139" s="14">
        <v>22.2</v>
      </c>
      <c r="D139" s="14">
        <v>12.6</v>
      </c>
      <c r="E139" s="14">
        <v>24.2</v>
      </c>
      <c r="F139" s="14">
        <v>6.6</v>
      </c>
      <c r="G139" s="65">
        <f t="shared" si="10"/>
        <v>17.600000000000001</v>
      </c>
      <c r="H139" s="65">
        <f t="shared" si="11"/>
        <v>15.100000000000001</v>
      </c>
      <c r="I139" s="67">
        <v>14.831111111111133</v>
      </c>
      <c r="J139" s="14">
        <v>15.9</v>
      </c>
      <c r="K139" s="14">
        <v>3.7</v>
      </c>
      <c r="L139" s="67">
        <v>9.2889583333333103</v>
      </c>
      <c r="M139" s="73">
        <v>94.7</v>
      </c>
      <c r="N139" s="24">
        <v>45.9</v>
      </c>
      <c r="O139" s="69">
        <v>71.24548611111139</v>
      </c>
      <c r="P139" s="102">
        <v>1020.30117812494</v>
      </c>
      <c r="Q139" s="21">
        <v>1014.25048600018</v>
      </c>
      <c r="R139" s="56">
        <v>1016.6300425261344</v>
      </c>
      <c r="S139" s="61">
        <v>6.8000000054400003</v>
      </c>
      <c r="T139" s="51">
        <v>3.8966666697839996</v>
      </c>
      <c r="U139" s="25">
        <v>1.0506535956117691</v>
      </c>
      <c r="V139" s="20" t="s">
        <v>214</v>
      </c>
      <c r="W139" s="195" t="s">
        <v>261</v>
      </c>
      <c r="X139" s="26">
        <v>0</v>
      </c>
      <c r="Y139" s="27">
        <v>0</v>
      </c>
      <c r="Z139" s="28">
        <v>0</v>
      </c>
      <c r="AA139" s="29">
        <v>0</v>
      </c>
      <c r="AB139" s="285" t="s">
        <v>231</v>
      </c>
    </row>
    <row r="140" spans="1:28" s="20" customFormat="1" x14ac:dyDescent="0.3">
      <c r="A140" s="38">
        <v>44699</v>
      </c>
      <c r="B140" s="39">
        <v>12.4</v>
      </c>
      <c r="C140" s="14">
        <v>21.1</v>
      </c>
      <c r="D140" s="14">
        <v>7.5</v>
      </c>
      <c r="E140" s="14">
        <v>21.4</v>
      </c>
      <c r="F140" s="14">
        <v>2.1</v>
      </c>
      <c r="G140" s="65">
        <f t="shared" si="10"/>
        <v>19.299999999999997</v>
      </c>
      <c r="H140" s="65">
        <f t="shared" si="11"/>
        <v>12.125</v>
      </c>
      <c r="I140" s="67">
        <v>12.508958333333322</v>
      </c>
      <c r="J140" s="14">
        <v>8.6</v>
      </c>
      <c r="K140" s="14">
        <v>0.2</v>
      </c>
      <c r="L140" s="67">
        <v>3.5262499999999997</v>
      </c>
      <c r="M140" s="73">
        <v>87.4</v>
      </c>
      <c r="N140" s="24">
        <v>32.9</v>
      </c>
      <c r="O140" s="69">
        <v>56.853611111111007</v>
      </c>
      <c r="P140" s="102">
        <v>1029.6656904014301</v>
      </c>
      <c r="Q140" s="21">
        <v>1020.19883073021</v>
      </c>
      <c r="R140" s="56">
        <v>1025.8086254793204</v>
      </c>
      <c r="S140" s="61">
        <v>9.5000000076000006</v>
      </c>
      <c r="T140" s="51">
        <v>5.9800000047840003</v>
      </c>
      <c r="U140" s="25">
        <v>2.3048656518075821</v>
      </c>
      <c r="V140" s="192" t="s">
        <v>214</v>
      </c>
      <c r="W140" s="195"/>
      <c r="X140" s="26">
        <v>0</v>
      </c>
      <c r="Y140" s="27">
        <v>0</v>
      </c>
      <c r="Z140" s="28">
        <v>0</v>
      </c>
      <c r="AA140" s="29">
        <v>0</v>
      </c>
      <c r="AB140" s="285" t="s">
        <v>222</v>
      </c>
    </row>
    <row r="141" spans="1:28" s="20" customFormat="1" ht="43.2" x14ac:dyDescent="0.3">
      <c r="A141" s="38">
        <v>44700</v>
      </c>
      <c r="B141" s="39">
        <v>8.1999999999999993</v>
      </c>
      <c r="C141" s="14">
        <v>25.4</v>
      </c>
      <c r="D141" s="14">
        <v>12.3</v>
      </c>
      <c r="E141" s="14">
        <v>26.2</v>
      </c>
      <c r="F141" s="14">
        <v>-0.8</v>
      </c>
      <c r="G141" s="65">
        <f t="shared" si="10"/>
        <v>27</v>
      </c>
      <c r="H141" s="65">
        <f t="shared" si="11"/>
        <v>14.549999999999999</v>
      </c>
      <c r="I141" s="67">
        <v>13.769510489510504</v>
      </c>
      <c r="J141" s="14">
        <v>11.5</v>
      </c>
      <c r="K141" s="14">
        <v>-2</v>
      </c>
      <c r="L141" s="67">
        <v>5.1173426573426477</v>
      </c>
      <c r="M141" s="73">
        <v>94.2</v>
      </c>
      <c r="N141" s="24">
        <v>31</v>
      </c>
      <c r="O141" s="69">
        <v>61.374265734265713</v>
      </c>
      <c r="P141" s="102">
        <v>1030.4563185239799</v>
      </c>
      <c r="Q141" s="21">
        <v>1022.80184468828</v>
      </c>
      <c r="R141" s="56">
        <v>1026.4499305155571</v>
      </c>
      <c r="S141" s="61">
        <v>6.8000000054400003</v>
      </c>
      <c r="T141" s="51">
        <v>4.423333336872</v>
      </c>
      <c r="U141" s="25">
        <v>1.427652069268643</v>
      </c>
      <c r="V141" s="192" t="s">
        <v>249</v>
      </c>
      <c r="W141" s="195"/>
      <c r="X141" s="26">
        <v>0</v>
      </c>
      <c r="Y141" s="27">
        <v>0</v>
      </c>
      <c r="Z141" s="28">
        <v>0</v>
      </c>
      <c r="AA141" s="29">
        <v>0</v>
      </c>
      <c r="AB141" s="285" t="s">
        <v>319</v>
      </c>
    </row>
    <row r="142" spans="1:28" s="20" customFormat="1" x14ac:dyDescent="0.3">
      <c r="A142" s="38">
        <v>44701</v>
      </c>
      <c r="B142" s="39">
        <v>12.4</v>
      </c>
      <c r="C142" s="14">
        <v>25.8</v>
      </c>
      <c r="D142" s="14">
        <v>16</v>
      </c>
      <c r="E142" s="14">
        <v>27.1</v>
      </c>
      <c r="F142" s="14">
        <v>3.4</v>
      </c>
      <c r="G142" s="65">
        <f t="shared" si="10"/>
        <v>23.700000000000003</v>
      </c>
      <c r="H142" s="65">
        <f t="shared" si="11"/>
        <v>17.55</v>
      </c>
      <c r="I142" s="67">
        <v>16.45270833333333</v>
      </c>
      <c r="J142" s="14">
        <v>15</v>
      </c>
      <c r="K142" s="14">
        <v>2.2000000000000002</v>
      </c>
      <c r="L142" s="67">
        <v>9.5898611111111052</v>
      </c>
      <c r="M142" s="73">
        <v>94.5</v>
      </c>
      <c r="N142" s="24">
        <v>40.1</v>
      </c>
      <c r="O142" s="69">
        <v>67.460694444444499</v>
      </c>
      <c r="P142" s="102">
        <v>1024.5156076354499</v>
      </c>
      <c r="Q142" s="21">
        <v>1015.26104246938</v>
      </c>
      <c r="R142" s="56">
        <v>1020.1384834481771</v>
      </c>
      <c r="S142" s="61">
        <v>7.8000000062400003</v>
      </c>
      <c r="T142" s="51">
        <v>5.2833333375599993</v>
      </c>
      <c r="U142" s="25">
        <v>1.7619927550327861</v>
      </c>
      <c r="V142" s="192" t="s">
        <v>249</v>
      </c>
      <c r="W142" s="195" t="s">
        <v>210</v>
      </c>
      <c r="X142" s="26">
        <v>6</v>
      </c>
      <c r="Y142" s="27">
        <v>0.3</v>
      </c>
      <c r="Z142" s="28">
        <v>0</v>
      </c>
      <c r="AA142" s="29">
        <v>0</v>
      </c>
      <c r="AB142" s="285" t="s">
        <v>271</v>
      </c>
    </row>
    <row r="143" spans="1:28" s="20" customFormat="1" x14ac:dyDescent="0.3">
      <c r="A143" s="38">
        <v>44702</v>
      </c>
      <c r="B143" s="39">
        <v>14.4</v>
      </c>
      <c r="C143" s="14">
        <v>28.2</v>
      </c>
      <c r="D143" s="14">
        <v>15.5</v>
      </c>
      <c r="E143" s="14">
        <v>28.9</v>
      </c>
      <c r="F143" s="14">
        <v>10.1</v>
      </c>
      <c r="G143" s="65">
        <f t="shared" si="10"/>
        <v>18.799999999999997</v>
      </c>
      <c r="H143" s="65">
        <f t="shared" si="11"/>
        <v>18.399999999999999</v>
      </c>
      <c r="I143" s="67">
        <v>17.72937499999999</v>
      </c>
      <c r="J143" s="14">
        <v>19.3</v>
      </c>
      <c r="K143" s="14">
        <v>6.7</v>
      </c>
      <c r="L143" s="67">
        <v>11.76215277777775</v>
      </c>
      <c r="M143" s="73">
        <v>94.2</v>
      </c>
      <c r="N143" s="24">
        <v>44</v>
      </c>
      <c r="O143" s="69">
        <v>70.326944444444422</v>
      </c>
      <c r="P143" s="102">
        <v>1015.52706582758</v>
      </c>
      <c r="Q143" s="21">
        <v>1010.20515498629</v>
      </c>
      <c r="R143" s="56">
        <v>1012.4787699528617</v>
      </c>
      <c r="S143" s="61">
        <v>9.9000000079199992</v>
      </c>
      <c r="T143" s="51">
        <v>5.1766666708080002</v>
      </c>
      <c r="U143" s="25">
        <v>1.8446454428650028</v>
      </c>
      <c r="V143" s="192" t="s">
        <v>214</v>
      </c>
      <c r="W143" s="195"/>
      <c r="X143" s="26">
        <v>0</v>
      </c>
      <c r="Y143" s="27">
        <v>0</v>
      </c>
      <c r="Z143" s="28">
        <v>0</v>
      </c>
      <c r="AA143" s="29">
        <v>0</v>
      </c>
      <c r="AB143" s="285" t="s">
        <v>271</v>
      </c>
    </row>
    <row r="144" spans="1:28" s="20" customFormat="1" x14ac:dyDescent="0.3">
      <c r="A144" s="38">
        <v>44703</v>
      </c>
      <c r="B144" s="39">
        <v>17.600000000000001</v>
      </c>
      <c r="C144" s="14">
        <v>20.7</v>
      </c>
      <c r="D144" s="14">
        <v>13</v>
      </c>
      <c r="E144" s="14">
        <v>22.9</v>
      </c>
      <c r="F144" s="14">
        <v>9.4</v>
      </c>
      <c r="G144" s="65">
        <f t="shared" si="10"/>
        <v>13.499999999999998</v>
      </c>
      <c r="H144" s="65">
        <f t="shared" si="11"/>
        <v>16.074999999999999</v>
      </c>
      <c r="I144" s="67">
        <v>15.599930555555583</v>
      </c>
      <c r="J144" s="14">
        <v>12.1</v>
      </c>
      <c r="K144" s="14">
        <v>6.1</v>
      </c>
      <c r="L144" s="67">
        <v>8.4539583333333574</v>
      </c>
      <c r="M144" s="73">
        <v>85.6</v>
      </c>
      <c r="N144" s="24">
        <v>44.5</v>
      </c>
      <c r="O144" s="69">
        <v>63.788680555555601</v>
      </c>
      <c r="P144" s="102">
        <v>1014.08284615072</v>
      </c>
      <c r="Q144" s="21">
        <v>1010.79386702419</v>
      </c>
      <c r="R144" s="56">
        <v>1012.3686368903673</v>
      </c>
      <c r="S144" s="61">
        <v>10.500000008400001</v>
      </c>
      <c r="T144" s="51">
        <v>5.4166666709999998</v>
      </c>
      <c r="U144" s="25">
        <v>2.275495889580434</v>
      </c>
      <c r="V144" s="192" t="s">
        <v>250</v>
      </c>
      <c r="W144" s="195"/>
      <c r="X144" s="26">
        <v>0</v>
      </c>
      <c r="Y144" s="27">
        <v>0</v>
      </c>
      <c r="Z144" s="28">
        <v>0</v>
      </c>
      <c r="AA144" s="29">
        <v>0</v>
      </c>
      <c r="AB144" s="285" t="s">
        <v>271</v>
      </c>
    </row>
    <row r="145" spans="1:28" s="20" customFormat="1" x14ac:dyDescent="0.3">
      <c r="A145" s="38">
        <v>44704</v>
      </c>
      <c r="B145" s="39">
        <v>14.5</v>
      </c>
      <c r="C145" s="14">
        <v>17.7</v>
      </c>
      <c r="D145" s="14">
        <v>9.6</v>
      </c>
      <c r="E145" s="14">
        <v>21.2</v>
      </c>
      <c r="F145" s="14">
        <v>5.4</v>
      </c>
      <c r="G145" s="65">
        <f t="shared" si="10"/>
        <v>15.799999999999999</v>
      </c>
      <c r="H145" s="65">
        <f t="shared" si="11"/>
        <v>12.850000000000001</v>
      </c>
      <c r="I145" s="67">
        <v>13.294444444444403</v>
      </c>
      <c r="J145" s="14">
        <v>12.7</v>
      </c>
      <c r="K145" s="14">
        <v>4.2</v>
      </c>
      <c r="L145" s="67">
        <v>8.4329166666666495</v>
      </c>
      <c r="M145" s="73">
        <v>93.6</v>
      </c>
      <c r="N145" s="24">
        <v>50.1</v>
      </c>
      <c r="O145" s="69">
        <v>73.980000000000075</v>
      </c>
      <c r="P145" s="102">
        <v>1013.31063847136</v>
      </c>
      <c r="Q145" s="21">
        <v>1010.76441444753</v>
      </c>
      <c r="R145" s="56">
        <v>1012.0981656236748</v>
      </c>
      <c r="S145" s="61">
        <v>8.2000000065599998</v>
      </c>
      <c r="T145" s="51">
        <v>5.456666671032</v>
      </c>
      <c r="U145" s="25">
        <v>1.9738147088843208</v>
      </c>
      <c r="V145" s="192" t="s">
        <v>214</v>
      </c>
      <c r="W145" s="195"/>
      <c r="X145" s="26">
        <v>0</v>
      </c>
      <c r="Y145" s="27">
        <v>0</v>
      </c>
      <c r="Z145" s="28">
        <v>0</v>
      </c>
      <c r="AA145" s="29">
        <v>0</v>
      </c>
      <c r="AB145" s="285" t="s">
        <v>269</v>
      </c>
    </row>
    <row r="146" spans="1:28" s="20" customFormat="1" x14ac:dyDescent="0.3">
      <c r="A146" s="38">
        <v>44705</v>
      </c>
      <c r="B146" s="39">
        <v>11</v>
      </c>
      <c r="C146" s="14">
        <v>23.7</v>
      </c>
      <c r="D146" s="14">
        <v>15.9</v>
      </c>
      <c r="E146" s="14">
        <v>24.1</v>
      </c>
      <c r="F146" s="14">
        <v>2.9</v>
      </c>
      <c r="G146" s="65">
        <f t="shared" si="10"/>
        <v>21.200000000000003</v>
      </c>
      <c r="H146" s="65">
        <f t="shared" si="11"/>
        <v>16.625</v>
      </c>
      <c r="I146" s="67">
        <v>14.903194444444434</v>
      </c>
      <c r="J146" s="14">
        <v>13.3</v>
      </c>
      <c r="K146" s="14">
        <v>2</v>
      </c>
      <c r="L146" s="67">
        <v>9.2871527777777523</v>
      </c>
      <c r="M146" s="73">
        <v>96</v>
      </c>
      <c r="N146" s="24">
        <v>45.9</v>
      </c>
      <c r="O146" s="69">
        <v>71.930833333333297</v>
      </c>
      <c r="P146" s="102">
        <v>1012.2267828108</v>
      </c>
      <c r="Q146" s="21">
        <v>1008.52682074672</v>
      </c>
      <c r="R146" s="56">
        <v>1010.518569364668</v>
      </c>
      <c r="S146" s="61">
        <v>9.2000000073599999</v>
      </c>
      <c r="T146" s="51">
        <v>4.6400000037119993</v>
      </c>
      <c r="U146" s="25">
        <v>1.6693556214905243</v>
      </c>
      <c r="V146" s="192" t="s">
        <v>249</v>
      </c>
      <c r="W146" s="195"/>
      <c r="X146" s="26">
        <v>0</v>
      </c>
      <c r="Y146" s="27">
        <v>0</v>
      </c>
      <c r="Z146" s="28">
        <v>0</v>
      </c>
      <c r="AA146" s="29">
        <v>0</v>
      </c>
      <c r="AB146" s="287" t="s">
        <v>231</v>
      </c>
    </row>
    <row r="147" spans="1:28" s="20" customFormat="1" x14ac:dyDescent="0.3">
      <c r="A147" s="38">
        <v>44706</v>
      </c>
      <c r="B147" s="39">
        <v>12.3</v>
      </c>
      <c r="C147" s="14">
        <v>18</v>
      </c>
      <c r="D147" s="14">
        <v>12.8</v>
      </c>
      <c r="E147" s="14">
        <v>25.2</v>
      </c>
      <c r="F147" s="14">
        <v>9.1999999999999993</v>
      </c>
      <c r="G147" s="65">
        <f t="shared" si="10"/>
        <v>16</v>
      </c>
      <c r="H147" s="65">
        <f t="shared" si="11"/>
        <v>13.975000000000001</v>
      </c>
      <c r="I147" s="67">
        <v>15.651041666666689</v>
      </c>
      <c r="J147" s="14">
        <v>17.899999999999999</v>
      </c>
      <c r="K147" s="14">
        <v>8.1999999999999993</v>
      </c>
      <c r="L147" s="67">
        <v>12.387569444444443</v>
      </c>
      <c r="M147" s="73">
        <v>94.5</v>
      </c>
      <c r="N147" s="24">
        <v>48.4</v>
      </c>
      <c r="O147" s="69">
        <v>82.916805555555484</v>
      </c>
      <c r="P147" s="102">
        <v>1017.09044702156</v>
      </c>
      <c r="Q147" s="21">
        <v>1010.99972388592</v>
      </c>
      <c r="R147" s="56">
        <v>1013.1393798393639</v>
      </c>
      <c r="S147" s="61">
        <v>9.5000000076000006</v>
      </c>
      <c r="T147" s="51">
        <v>5.8466666713440008</v>
      </c>
      <c r="U147" s="25">
        <v>1.5611592124081382</v>
      </c>
      <c r="V147" s="192" t="s">
        <v>297</v>
      </c>
      <c r="W147" s="195" t="s">
        <v>210</v>
      </c>
      <c r="X147" s="26">
        <v>84</v>
      </c>
      <c r="Y147" s="27">
        <v>20</v>
      </c>
      <c r="Z147" s="28">
        <v>0</v>
      </c>
      <c r="AA147" s="29">
        <v>0</v>
      </c>
      <c r="AB147" s="285" t="s">
        <v>306</v>
      </c>
    </row>
    <row r="148" spans="1:28" s="20" customFormat="1" x14ac:dyDescent="0.3">
      <c r="A148" s="38">
        <v>44707</v>
      </c>
      <c r="B148" s="39">
        <v>12.8</v>
      </c>
      <c r="C148" s="14">
        <v>23.8</v>
      </c>
      <c r="D148" s="14">
        <v>14.1</v>
      </c>
      <c r="E148" s="14">
        <v>25.3</v>
      </c>
      <c r="F148" s="14">
        <v>6.9</v>
      </c>
      <c r="G148" s="65">
        <f t="shared" ref="G148:G154" si="12">E148-F148</f>
        <v>18.399999999999999</v>
      </c>
      <c r="H148" s="65">
        <f t="shared" si="11"/>
        <v>16.2</v>
      </c>
      <c r="I148" s="67">
        <v>16.096180555555531</v>
      </c>
      <c r="J148" s="14">
        <v>17.100000000000001</v>
      </c>
      <c r="K148" s="14">
        <v>6.2</v>
      </c>
      <c r="L148" s="67">
        <v>10.924652777777757</v>
      </c>
      <c r="M148" s="73">
        <v>97.3</v>
      </c>
      <c r="N148" s="24">
        <v>43.3</v>
      </c>
      <c r="O148" s="69">
        <v>74.077222222222176</v>
      </c>
      <c r="P148" s="102">
        <v>1019.37797393408</v>
      </c>
      <c r="Q148" s="21">
        <v>1016.20663182921</v>
      </c>
      <c r="R148" s="56">
        <v>1017.9084953441965</v>
      </c>
      <c r="S148" s="61">
        <v>6.8000000054400003</v>
      </c>
      <c r="T148" s="51">
        <v>3.4466666694240002</v>
      </c>
      <c r="U148" s="25">
        <v>0.98984299596095182</v>
      </c>
      <c r="V148" s="192" t="s">
        <v>214</v>
      </c>
      <c r="W148" s="195"/>
      <c r="X148" s="26">
        <v>0</v>
      </c>
      <c r="Y148" s="27">
        <v>0</v>
      </c>
      <c r="Z148" s="28">
        <v>0</v>
      </c>
      <c r="AA148" s="29">
        <v>0</v>
      </c>
      <c r="AB148" s="285" t="s">
        <v>269</v>
      </c>
    </row>
    <row r="149" spans="1:28" s="20" customFormat="1" x14ac:dyDescent="0.3">
      <c r="A149" s="38">
        <v>44708</v>
      </c>
      <c r="B149" s="39">
        <v>14.6</v>
      </c>
      <c r="C149" s="14">
        <v>25.3</v>
      </c>
      <c r="D149" s="14">
        <v>10.5</v>
      </c>
      <c r="E149" s="14">
        <v>26.4</v>
      </c>
      <c r="F149" s="14">
        <v>6.6</v>
      </c>
      <c r="G149" s="65">
        <f t="shared" si="12"/>
        <v>19.799999999999997</v>
      </c>
      <c r="H149" s="65">
        <f t="shared" si="11"/>
        <v>15.225</v>
      </c>
      <c r="I149" s="67">
        <v>15.831180555555523</v>
      </c>
      <c r="J149" s="14">
        <v>16.8</v>
      </c>
      <c r="K149" s="14">
        <v>5.7</v>
      </c>
      <c r="L149" s="67">
        <v>10.827152777777764</v>
      </c>
      <c r="M149" s="73">
        <v>96.2</v>
      </c>
      <c r="N149" s="24">
        <v>45.4</v>
      </c>
      <c r="O149" s="69">
        <v>75.364722222222284</v>
      </c>
      <c r="P149" s="102">
        <v>1019.19005094188</v>
      </c>
      <c r="Q149" s="21">
        <v>1008.69767776175</v>
      </c>
      <c r="R149" s="56">
        <v>1014.6584313476934</v>
      </c>
      <c r="S149" s="61">
        <v>11.20000000896</v>
      </c>
      <c r="T149" s="51">
        <v>6.8866666721760001</v>
      </c>
      <c r="U149" s="25">
        <v>1.9275393954814191</v>
      </c>
      <c r="V149" s="192" t="s">
        <v>249</v>
      </c>
      <c r="W149" s="195" t="s">
        <v>210</v>
      </c>
      <c r="X149" s="26">
        <v>24</v>
      </c>
      <c r="Y149" s="27">
        <v>4</v>
      </c>
      <c r="Z149" s="28">
        <v>0</v>
      </c>
      <c r="AA149" s="29">
        <v>0</v>
      </c>
      <c r="AB149" s="285" t="s">
        <v>266</v>
      </c>
    </row>
    <row r="150" spans="1:28" s="20" customFormat="1" x14ac:dyDescent="0.3">
      <c r="A150" s="38">
        <v>44709</v>
      </c>
      <c r="B150" s="39">
        <v>11.4</v>
      </c>
      <c r="C150" s="14">
        <v>23.4</v>
      </c>
      <c r="D150" s="14">
        <v>9.5</v>
      </c>
      <c r="E150" s="14">
        <v>23.9</v>
      </c>
      <c r="F150" s="14">
        <v>3.7</v>
      </c>
      <c r="G150" s="65">
        <f t="shared" si="12"/>
        <v>20.2</v>
      </c>
      <c r="H150" s="65">
        <f t="shared" si="11"/>
        <v>13.45</v>
      </c>
      <c r="I150" s="67">
        <v>13.933402777777795</v>
      </c>
      <c r="J150" s="14">
        <v>13.6</v>
      </c>
      <c r="K150" s="14">
        <v>2.1</v>
      </c>
      <c r="L150" s="67">
        <v>7.4660416666666691</v>
      </c>
      <c r="M150" s="73">
        <v>96.9</v>
      </c>
      <c r="N150" s="24">
        <v>31</v>
      </c>
      <c r="O150" s="69">
        <v>68.947569444444468</v>
      </c>
      <c r="P150" s="102">
        <v>1015.0947744617901</v>
      </c>
      <c r="Q150" s="21">
        <v>1008.94343497223</v>
      </c>
      <c r="R150" s="56">
        <v>1012.2699425475914</v>
      </c>
      <c r="S150" s="61">
        <v>9.9000000079199992</v>
      </c>
      <c r="T150" s="51">
        <v>5.3366666709359993</v>
      </c>
      <c r="U150" s="25">
        <v>1.6839168503624555</v>
      </c>
      <c r="V150" s="192" t="s">
        <v>214</v>
      </c>
      <c r="W150" s="195"/>
      <c r="X150" s="26">
        <v>0</v>
      </c>
      <c r="Y150" s="27">
        <v>0</v>
      </c>
      <c r="Z150" s="28">
        <v>0</v>
      </c>
      <c r="AA150" s="29">
        <v>0</v>
      </c>
      <c r="AB150" s="285" t="s">
        <v>320</v>
      </c>
    </row>
    <row r="151" spans="1:28" s="20" customFormat="1" x14ac:dyDescent="0.3">
      <c r="A151" s="38">
        <v>44710</v>
      </c>
      <c r="B151" s="39">
        <v>8.4</v>
      </c>
      <c r="C151" s="14">
        <v>19.3</v>
      </c>
      <c r="D151" s="14">
        <v>10.6</v>
      </c>
      <c r="E151" s="14">
        <v>21</v>
      </c>
      <c r="F151" s="14">
        <v>1.9</v>
      </c>
      <c r="G151" s="65">
        <f t="shared" si="12"/>
        <v>19.100000000000001</v>
      </c>
      <c r="H151" s="65">
        <f t="shared" si="11"/>
        <v>12.225000000000001</v>
      </c>
      <c r="I151" s="67">
        <v>11.95166666666668</v>
      </c>
      <c r="J151" s="14">
        <v>11.7</v>
      </c>
      <c r="K151" s="14">
        <v>0.8</v>
      </c>
      <c r="L151" s="67">
        <v>6.6732638888888838</v>
      </c>
      <c r="M151" s="73">
        <v>94.6</v>
      </c>
      <c r="N151" s="24">
        <v>39.4</v>
      </c>
      <c r="O151" s="69">
        <v>73.176319444444474</v>
      </c>
      <c r="P151" s="102">
        <v>1015.18440411527</v>
      </c>
      <c r="Q151" s="21">
        <v>1008.80198322735</v>
      </c>
      <c r="R151" s="56">
        <v>1012.167252757056</v>
      </c>
      <c r="S151" s="61">
        <v>6.10000000488</v>
      </c>
      <c r="T151" s="51">
        <v>3.8300000030639998</v>
      </c>
      <c r="U151" s="25">
        <v>0.9710448867223882</v>
      </c>
      <c r="V151" s="192" t="s">
        <v>213</v>
      </c>
      <c r="W151" s="195" t="s">
        <v>210</v>
      </c>
      <c r="X151" s="26">
        <v>6</v>
      </c>
      <c r="Y151" s="27">
        <v>1.2</v>
      </c>
      <c r="Z151" s="28">
        <v>0</v>
      </c>
      <c r="AA151" s="29">
        <v>0</v>
      </c>
      <c r="AB151" s="285" t="s">
        <v>231</v>
      </c>
    </row>
    <row r="152" spans="1:28" s="20" customFormat="1" x14ac:dyDescent="0.3">
      <c r="A152" s="38">
        <v>44711</v>
      </c>
      <c r="B152" s="39">
        <v>13.3</v>
      </c>
      <c r="C152" s="14">
        <v>20</v>
      </c>
      <c r="D152" s="14">
        <v>11.7</v>
      </c>
      <c r="E152" s="14">
        <v>22.2</v>
      </c>
      <c r="F152" s="14">
        <v>7.5</v>
      </c>
      <c r="G152" s="65">
        <f t="shared" si="12"/>
        <v>14.7</v>
      </c>
      <c r="H152" s="65">
        <f>(B152+C152+2*D152)/4</f>
        <v>14.174999999999999</v>
      </c>
      <c r="I152" s="67">
        <v>14.85729166666666</v>
      </c>
      <c r="J152" s="14">
        <v>13.8</v>
      </c>
      <c r="K152" s="14">
        <v>6.6</v>
      </c>
      <c r="L152" s="67">
        <v>9.2574999999999896</v>
      </c>
      <c r="M152" s="73">
        <v>96.6</v>
      </c>
      <c r="N152" s="24">
        <v>44.8</v>
      </c>
      <c r="O152" s="69">
        <v>71.714930555555725</v>
      </c>
      <c r="P152" s="102">
        <v>1015.0814609934</v>
      </c>
      <c r="Q152" s="21">
        <v>1007.46034781371</v>
      </c>
      <c r="R152" s="56">
        <v>1010.1248230149361</v>
      </c>
      <c r="S152" s="61">
        <v>7.5000000059999996</v>
      </c>
      <c r="T152" s="51">
        <v>5.1933333374879993</v>
      </c>
      <c r="U152" s="25">
        <v>1.4139680171231812</v>
      </c>
      <c r="V152" s="192" t="s">
        <v>248</v>
      </c>
      <c r="W152" s="195"/>
      <c r="X152" s="26">
        <v>0</v>
      </c>
      <c r="Y152" s="27">
        <v>0</v>
      </c>
      <c r="Z152" s="28">
        <v>0</v>
      </c>
      <c r="AA152" s="29">
        <v>0</v>
      </c>
      <c r="AB152" s="285" t="s">
        <v>231</v>
      </c>
    </row>
    <row r="153" spans="1:28" s="281" customFormat="1" ht="15" thickBot="1" x14ac:dyDescent="0.35">
      <c r="A153" s="38">
        <v>44712</v>
      </c>
      <c r="B153" s="40">
        <v>14</v>
      </c>
      <c r="C153" s="22">
        <v>24.2</v>
      </c>
      <c r="D153" s="22">
        <v>13.7</v>
      </c>
      <c r="E153" s="22">
        <v>25.4</v>
      </c>
      <c r="F153" s="22">
        <v>5.6</v>
      </c>
      <c r="G153" s="22">
        <f t="shared" si="12"/>
        <v>19.799999999999997</v>
      </c>
      <c r="H153" s="22">
        <f>(B153+C153+2*D153)/4</f>
        <v>16.399999999999999</v>
      </c>
      <c r="I153" s="68">
        <v>16.272500000000026</v>
      </c>
      <c r="J153" s="22">
        <v>16.100000000000001</v>
      </c>
      <c r="K153" s="22">
        <v>4.5999999999999996</v>
      </c>
      <c r="L153" s="68">
        <v>10.320763888888891</v>
      </c>
      <c r="M153" s="74">
        <v>95.3</v>
      </c>
      <c r="N153" s="57">
        <v>40.700000000000003</v>
      </c>
      <c r="O153" s="70">
        <v>71.09444444444442</v>
      </c>
      <c r="P153" s="103">
        <v>1017.4653081487</v>
      </c>
      <c r="Q153" s="58">
        <v>1013.34800933397</v>
      </c>
      <c r="R153" s="59">
        <v>1015.4259483155038</v>
      </c>
      <c r="S153" s="63">
        <v>7.5000000059999996</v>
      </c>
      <c r="T153" s="53">
        <v>3.9366666698160011</v>
      </c>
      <c r="U153" s="41">
        <v>1.2553041372572797</v>
      </c>
      <c r="V153" s="196" t="s">
        <v>248</v>
      </c>
      <c r="W153" s="197"/>
      <c r="X153" s="43">
        <v>0</v>
      </c>
      <c r="Y153" s="44">
        <v>0</v>
      </c>
      <c r="Z153" s="45">
        <v>0</v>
      </c>
      <c r="AA153" s="46">
        <v>0</v>
      </c>
      <c r="AB153" s="286" t="s">
        <v>272</v>
      </c>
    </row>
    <row r="154" spans="1:28" s="34" customFormat="1" x14ac:dyDescent="0.3">
      <c r="A154" s="38">
        <v>44713</v>
      </c>
      <c r="B154" s="64">
        <v>15.5</v>
      </c>
      <c r="C154" s="30">
        <v>26.4</v>
      </c>
      <c r="D154" s="30">
        <v>16.7</v>
      </c>
      <c r="E154" s="30">
        <v>26.7</v>
      </c>
      <c r="F154" s="30">
        <v>7.7</v>
      </c>
      <c r="G154" s="65">
        <f t="shared" si="12"/>
        <v>19</v>
      </c>
      <c r="H154" s="65">
        <f>(B154+C154+2*D154)/4</f>
        <v>18.824999999999999</v>
      </c>
      <c r="I154" s="72">
        <v>17.451666666666661</v>
      </c>
      <c r="J154" s="30">
        <v>18.399999999999999</v>
      </c>
      <c r="K154" s="30">
        <v>6.8</v>
      </c>
      <c r="L154" s="72">
        <v>12.978402777777761</v>
      </c>
      <c r="M154" s="99">
        <v>96.4</v>
      </c>
      <c r="N154" s="31">
        <v>47.6</v>
      </c>
      <c r="O154" s="95">
        <v>77.263333333333378</v>
      </c>
      <c r="P154" s="104">
        <v>1015.85425663944</v>
      </c>
      <c r="Q154" s="32">
        <v>1012.5875213337</v>
      </c>
      <c r="R154" s="60">
        <v>1014.3979503278615</v>
      </c>
      <c r="S154" s="97">
        <v>9.5000000076000006</v>
      </c>
      <c r="T154" s="33">
        <v>5.9333333380799989</v>
      </c>
      <c r="U154" s="33">
        <v>1.2586856181109338</v>
      </c>
      <c r="V154" s="190" t="s">
        <v>297</v>
      </c>
      <c r="W154" s="198"/>
      <c r="X154" s="91">
        <v>0</v>
      </c>
      <c r="Y154" s="92">
        <v>0</v>
      </c>
      <c r="Z154" s="93">
        <v>0</v>
      </c>
      <c r="AA154" s="98">
        <v>0</v>
      </c>
      <c r="AB154" s="283" t="s">
        <v>231</v>
      </c>
    </row>
    <row r="155" spans="1:28" s="20" customFormat="1" x14ac:dyDescent="0.3">
      <c r="A155" s="38">
        <v>44714</v>
      </c>
      <c r="B155" s="39">
        <v>13.5</v>
      </c>
      <c r="C155" s="14">
        <v>25.9</v>
      </c>
      <c r="D155" s="14">
        <v>14.5</v>
      </c>
      <c r="E155" s="14">
        <v>27</v>
      </c>
      <c r="F155" s="14">
        <v>8.6999999999999993</v>
      </c>
      <c r="G155" s="65">
        <f t="shared" ref="G155:G178" si="13">E155-F155</f>
        <v>18.3</v>
      </c>
      <c r="H155" s="65">
        <f t="shared" ref="H155:H182" si="14">(B155+C155+2*D155)/4</f>
        <v>17.100000000000001</v>
      </c>
      <c r="I155" s="67">
        <v>16.684225352112666</v>
      </c>
      <c r="J155" s="14">
        <v>19.100000000000001</v>
      </c>
      <c r="K155" s="14">
        <v>7.9</v>
      </c>
      <c r="L155" s="67">
        <v>12.922394366197203</v>
      </c>
      <c r="M155" s="73">
        <v>97.1</v>
      </c>
      <c r="N155" s="24">
        <v>52.2</v>
      </c>
      <c r="O155" s="69">
        <v>80.322394366196946</v>
      </c>
      <c r="P155" s="102">
        <v>1021.91373758083</v>
      </c>
      <c r="Q155" s="21">
        <v>1015.67417732686</v>
      </c>
      <c r="R155" s="56">
        <v>1017.9671293642134</v>
      </c>
      <c r="S155" s="61">
        <v>7.5000000059999996</v>
      </c>
      <c r="T155" s="51">
        <v>4.6266666703679995</v>
      </c>
      <c r="U155" s="25">
        <v>1.199354198674341</v>
      </c>
      <c r="V155" s="192" t="s">
        <v>214</v>
      </c>
      <c r="W155" s="193" t="s">
        <v>210</v>
      </c>
      <c r="X155" s="16">
        <v>6</v>
      </c>
      <c r="Y155" s="17">
        <v>0.1</v>
      </c>
      <c r="Z155" s="18">
        <v>0</v>
      </c>
      <c r="AA155" s="42">
        <v>0</v>
      </c>
      <c r="AB155" s="284" t="s">
        <v>271</v>
      </c>
    </row>
    <row r="156" spans="1:28" s="20" customFormat="1" ht="28.8" x14ac:dyDescent="0.3">
      <c r="A156" s="38">
        <v>44715</v>
      </c>
      <c r="B156" s="39">
        <v>15.1</v>
      </c>
      <c r="C156" s="14">
        <v>28</v>
      </c>
      <c r="D156" s="14">
        <v>14.5</v>
      </c>
      <c r="E156" s="14">
        <v>28.5</v>
      </c>
      <c r="F156" s="14">
        <v>6.8</v>
      </c>
      <c r="G156" s="65">
        <f>E156-F156</f>
        <v>21.7</v>
      </c>
      <c r="H156" s="65">
        <f t="shared" si="14"/>
        <v>18.024999999999999</v>
      </c>
      <c r="I156" s="67">
        <v>18.317847222222198</v>
      </c>
      <c r="J156" s="14">
        <v>16.600000000000001</v>
      </c>
      <c r="K156" s="14">
        <v>6</v>
      </c>
      <c r="L156" s="67">
        <v>10.607500000000011</v>
      </c>
      <c r="M156" s="73">
        <v>97.2</v>
      </c>
      <c r="N156" s="24">
        <v>31.7</v>
      </c>
      <c r="O156" s="69">
        <v>65.901180555555769</v>
      </c>
      <c r="P156" s="102">
        <v>1023.63344872008</v>
      </c>
      <c r="Q156" s="21">
        <v>1017.9810253202299</v>
      </c>
      <c r="R156" s="56">
        <v>1020.7882035384425</v>
      </c>
      <c r="S156" s="61">
        <v>3.70000000296</v>
      </c>
      <c r="T156" s="51">
        <v>2.4833333353200002</v>
      </c>
      <c r="U156" s="25">
        <v>0.94488424272752447</v>
      </c>
      <c r="V156" s="192" t="s">
        <v>215</v>
      </c>
      <c r="W156" s="193"/>
      <c r="X156" s="16">
        <v>0</v>
      </c>
      <c r="Y156" s="17">
        <v>0</v>
      </c>
      <c r="Z156" s="18">
        <v>0</v>
      </c>
      <c r="AA156" s="42">
        <v>0</v>
      </c>
      <c r="AB156" s="284" t="s">
        <v>336</v>
      </c>
    </row>
    <row r="157" spans="1:28" s="20" customFormat="1" x14ac:dyDescent="0.3">
      <c r="A157" s="38">
        <v>44716</v>
      </c>
      <c r="B157" s="39">
        <v>14.1</v>
      </c>
      <c r="C157" s="14">
        <v>19.600000000000001</v>
      </c>
      <c r="D157" s="14">
        <v>16.8</v>
      </c>
      <c r="E157" s="14">
        <v>22.6</v>
      </c>
      <c r="F157" s="14">
        <v>10</v>
      </c>
      <c r="G157" s="65">
        <f t="shared" si="13"/>
        <v>12.600000000000001</v>
      </c>
      <c r="H157" s="65">
        <f t="shared" si="14"/>
        <v>16.825000000000003</v>
      </c>
      <c r="I157" s="67">
        <v>16.432777777777801</v>
      </c>
      <c r="J157" s="14">
        <v>19.8</v>
      </c>
      <c r="K157" s="14">
        <v>8.6</v>
      </c>
      <c r="L157" s="67">
        <v>14.538402777777767</v>
      </c>
      <c r="M157" s="73">
        <v>93.5</v>
      </c>
      <c r="N157" s="24">
        <v>76.400000000000006</v>
      </c>
      <c r="O157" s="69">
        <v>88.71562499999996</v>
      </c>
      <c r="P157" s="102">
        <v>1019.52569012195</v>
      </c>
      <c r="Q157" s="21">
        <v>1015.15802356378</v>
      </c>
      <c r="R157" s="56">
        <v>1017.2651420368132</v>
      </c>
      <c r="S157" s="62">
        <v>3.1000000024799998</v>
      </c>
      <c r="T157" s="52">
        <v>1.9600000015680004</v>
      </c>
      <c r="U157" s="19">
        <v>0.63450909141669531</v>
      </c>
      <c r="V157" s="192" t="s">
        <v>213</v>
      </c>
      <c r="W157" s="194" t="s">
        <v>210</v>
      </c>
      <c r="X157" s="16">
        <v>108</v>
      </c>
      <c r="Y157" s="17">
        <v>2.4</v>
      </c>
      <c r="Z157" s="18">
        <v>0</v>
      </c>
      <c r="AA157" s="42">
        <v>0</v>
      </c>
      <c r="AB157" s="284" t="s">
        <v>231</v>
      </c>
    </row>
    <row r="158" spans="1:28" s="20" customFormat="1" x14ac:dyDescent="0.3">
      <c r="A158" s="38">
        <v>44717</v>
      </c>
      <c r="B158" s="39">
        <v>19.600000000000001</v>
      </c>
      <c r="C158" s="14">
        <v>27.3</v>
      </c>
      <c r="D158" s="14">
        <v>15</v>
      </c>
      <c r="E158" s="14">
        <v>28</v>
      </c>
      <c r="F158" s="14">
        <v>10.1</v>
      </c>
      <c r="G158" s="65">
        <f>E158-F158</f>
        <v>17.899999999999999</v>
      </c>
      <c r="H158" s="65">
        <f t="shared" si="14"/>
        <v>19.225000000000001</v>
      </c>
      <c r="I158" s="67">
        <v>20.148263888888849</v>
      </c>
      <c r="J158" s="14">
        <v>19.7</v>
      </c>
      <c r="K158" s="14">
        <v>9</v>
      </c>
      <c r="L158" s="67">
        <v>14.726458333333358</v>
      </c>
      <c r="M158" s="73">
        <v>93.5</v>
      </c>
      <c r="N158" s="24">
        <v>44.5</v>
      </c>
      <c r="O158" s="69">
        <v>73.178194444444429</v>
      </c>
      <c r="P158" s="102">
        <v>1019.42429112838</v>
      </c>
      <c r="Q158" s="21">
        <v>1015.97610441906</v>
      </c>
      <c r="R158" s="56">
        <v>1017.8301678316612</v>
      </c>
      <c r="S158" s="61">
        <v>7.8000000062400003</v>
      </c>
      <c r="T158" s="51">
        <v>5.2866666708959995</v>
      </c>
      <c r="U158" s="25">
        <v>2.1708272700530107</v>
      </c>
      <c r="V158" s="192" t="s">
        <v>214</v>
      </c>
      <c r="W158" s="194" t="s">
        <v>261</v>
      </c>
      <c r="X158" s="16">
        <v>0</v>
      </c>
      <c r="Y158" s="17">
        <v>0</v>
      </c>
      <c r="Z158" s="18">
        <v>0</v>
      </c>
      <c r="AA158" s="42">
        <v>0</v>
      </c>
      <c r="AB158" s="284" t="s">
        <v>292</v>
      </c>
    </row>
    <row r="159" spans="1:28" s="20" customFormat="1" x14ac:dyDescent="0.3">
      <c r="A159" s="38">
        <v>44718</v>
      </c>
      <c r="B159" s="39">
        <v>15.9</v>
      </c>
      <c r="C159" s="14">
        <v>28.5</v>
      </c>
      <c r="D159" s="14">
        <v>15.4</v>
      </c>
      <c r="E159" s="14">
        <v>29.4</v>
      </c>
      <c r="F159" s="14">
        <v>7.1</v>
      </c>
      <c r="G159" s="65">
        <f t="shared" si="13"/>
        <v>22.299999999999997</v>
      </c>
      <c r="H159" s="65">
        <f t="shared" si="14"/>
        <v>18.8</v>
      </c>
      <c r="I159" s="67">
        <v>18.466250000000002</v>
      </c>
      <c r="J159" s="14">
        <v>17.8</v>
      </c>
      <c r="K159" s="14">
        <v>6.3</v>
      </c>
      <c r="L159" s="67">
        <v>12.507916666666656</v>
      </c>
      <c r="M159" s="73">
        <v>97.3</v>
      </c>
      <c r="N159" s="24">
        <v>41.5</v>
      </c>
      <c r="O159" s="69">
        <v>71.826736111111103</v>
      </c>
      <c r="P159" s="102">
        <v>1018.87663434636</v>
      </c>
      <c r="Q159" s="21">
        <v>1013.73234172556</v>
      </c>
      <c r="R159" s="56">
        <v>1016.1679857027046</v>
      </c>
      <c r="S159" s="61">
        <v>6.5000000052000004</v>
      </c>
      <c r="T159" s="51">
        <v>3.6533333362560008</v>
      </c>
      <c r="U159" s="25">
        <v>1.0399636371956038</v>
      </c>
      <c r="V159" s="192" t="s">
        <v>214</v>
      </c>
      <c r="W159" s="194"/>
      <c r="X159" s="16">
        <v>0</v>
      </c>
      <c r="Y159" s="17">
        <v>0</v>
      </c>
      <c r="Z159" s="18">
        <v>0</v>
      </c>
      <c r="AA159" s="42">
        <v>0</v>
      </c>
      <c r="AB159" s="284" t="s">
        <v>303</v>
      </c>
    </row>
    <row r="160" spans="1:28" s="20" customFormat="1" x14ac:dyDescent="0.3">
      <c r="A160" s="38">
        <v>44719</v>
      </c>
      <c r="B160" s="39">
        <v>17.8</v>
      </c>
      <c r="C160" s="14">
        <v>28.8</v>
      </c>
      <c r="D160" s="14">
        <v>18.100000000000001</v>
      </c>
      <c r="E160" s="14">
        <v>29.6</v>
      </c>
      <c r="F160" s="14">
        <v>8.6</v>
      </c>
      <c r="G160" s="65">
        <f t="shared" si="13"/>
        <v>21</v>
      </c>
      <c r="H160" s="65">
        <f t="shared" si="14"/>
        <v>20.700000000000003</v>
      </c>
      <c r="I160" s="67">
        <v>20.1327777777778</v>
      </c>
      <c r="J160" s="14">
        <v>18.600000000000001</v>
      </c>
      <c r="K160" s="14">
        <v>7.8</v>
      </c>
      <c r="L160" s="67">
        <v>14.007499999999983</v>
      </c>
      <c r="M160" s="73">
        <v>97.2</v>
      </c>
      <c r="N160" s="24">
        <v>43.8</v>
      </c>
      <c r="O160" s="69">
        <v>71.193680555555616</v>
      </c>
      <c r="P160" s="102">
        <v>1015.79546272938</v>
      </c>
      <c r="Q160" s="21">
        <v>1009.3960831219</v>
      </c>
      <c r="R160" s="56">
        <v>1012.571469868619</v>
      </c>
      <c r="S160" s="61">
        <v>8.5000000068000006</v>
      </c>
      <c r="T160" s="51">
        <v>5.136666670776</v>
      </c>
      <c r="U160" s="25">
        <v>1.8099516922692191</v>
      </c>
      <c r="V160" s="192" t="s">
        <v>249</v>
      </c>
      <c r="W160" s="194"/>
      <c r="X160" s="16">
        <v>0</v>
      </c>
      <c r="Y160" s="17">
        <v>0</v>
      </c>
      <c r="Z160" s="18">
        <v>0</v>
      </c>
      <c r="AA160" s="42">
        <v>0</v>
      </c>
      <c r="AB160" s="284" t="s">
        <v>272</v>
      </c>
    </row>
    <row r="161" spans="1:28" s="20" customFormat="1" x14ac:dyDescent="0.3">
      <c r="A161" s="38">
        <v>44720</v>
      </c>
      <c r="B161" s="39">
        <v>20</v>
      </c>
      <c r="C161" s="14">
        <v>29.4</v>
      </c>
      <c r="D161" s="14">
        <v>18.7</v>
      </c>
      <c r="E161" s="14">
        <v>30.5</v>
      </c>
      <c r="F161" s="14">
        <v>11.2</v>
      </c>
      <c r="G161" s="65">
        <f t="shared" si="13"/>
        <v>19.3</v>
      </c>
      <c r="H161" s="65">
        <f t="shared" si="14"/>
        <v>21.7</v>
      </c>
      <c r="I161" s="67">
        <v>21.039375</v>
      </c>
      <c r="J161" s="14">
        <v>20.100000000000001</v>
      </c>
      <c r="K161" s="14">
        <v>10.4</v>
      </c>
      <c r="L161" s="67">
        <v>16.093472222222257</v>
      </c>
      <c r="M161" s="73">
        <v>97.2</v>
      </c>
      <c r="N161" s="24">
        <v>47.4</v>
      </c>
      <c r="O161" s="69">
        <v>75.856527777777714</v>
      </c>
      <c r="P161" s="102">
        <v>1011.29012363863</v>
      </c>
      <c r="Q161" s="21">
        <v>1005.86087523483</v>
      </c>
      <c r="R161" s="56">
        <v>1008.7496624359966</v>
      </c>
      <c r="S161" s="61">
        <v>5.10000000408</v>
      </c>
      <c r="T161" s="51">
        <v>3.6600000029279998</v>
      </c>
      <c r="U161" s="25">
        <v>0.98072085226014327</v>
      </c>
      <c r="V161" s="192" t="s">
        <v>215</v>
      </c>
      <c r="W161" s="194"/>
      <c r="X161" s="16">
        <v>0</v>
      </c>
      <c r="Y161" s="17">
        <v>0</v>
      </c>
      <c r="Z161" s="18">
        <v>0</v>
      </c>
      <c r="AA161" s="42">
        <v>0</v>
      </c>
      <c r="AB161" s="284" t="s">
        <v>271</v>
      </c>
    </row>
    <row r="162" spans="1:28" s="20" customFormat="1" x14ac:dyDescent="0.3">
      <c r="A162" s="38">
        <v>44721</v>
      </c>
      <c r="B162" s="39">
        <v>18.5</v>
      </c>
      <c r="C162" s="14">
        <v>28.5</v>
      </c>
      <c r="D162" s="14">
        <v>15.6</v>
      </c>
      <c r="E162" s="14">
        <v>30.8</v>
      </c>
      <c r="F162" s="14">
        <v>13.4</v>
      </c>
      <c r="G162" s="65">
        <f t="shared" si="13"/>
        <v>17.399999999999999</v>
      </c>
      <c r="H162" s="65">
        <f t="shared" si="14"/>
        <v>19.55</v>
      </c>
      <c r="I162" s="67">
        <v>20.825277777777703</v>
      </c>
      <c r="J162" s="14">
        <v>21.6</v>
      </c>
      <c r="K162" s="14">
        <v>12.2</v>
      </c>
      <c r="L162" s="67">
        <v>15.790486111111107</v>
      </c>
      <c r="M162" s="73">
        <v>97.6</v>
      </c>
      <c r="N162" s="24">
        <v>47.5</v>
      </c>
      <c r="O162" s="69">
        <v>75.262152777777672</v>
      </c>
      <c r="P162" s="102">
        <v>1012.0704261995101</v>
      </c>
      <c r="Q162" s="21">
        <v>1005.4812397355799</v>
      </c>
      <c r="R162" s="56">
        <v>1007.9542569804519</v>
      </c>
      <c r="S162" s="61">
        <v>8.2000000065599998</v>
      </c>
      <c r="T162" s="51">
        <v>5.9600000047680002</v>
      </c>
      <c r="U162" s="25">
        <v>1.3893730342753876</v>
      </c>
      <c r="V162" s="192" t="s">
        <v>213</v>
      </c>
      <c r="W162" s="194" t="s">
        <v>210</v>
      </c>
      <c r="X162" s="16">
        <v>12</v>
      </c>
      <c r="Y162" s="17">
        <v>0.5</v>
      </c>
      <c r="Z162" s="18">
        <v>0</v>
      </c>
      <c r="AA162" s="42">
        <v>0</v>
      </c>
      <c r="AB162" s="284" t="s">
        <v>268</v>
      </c>
    </row>
    <row r="163" spans="1:28" s="20" customFormat="1" x14ac:dyDescent="0.3">
      <c r="A163" s="38">
        <v>44722</v>
      </c>
      <c r="B163" s="39">
        <v>18.2</v>
      </c>
      <c r="C163" s="14">
        <v>27.8</v>
      </c>
      <c r="D163" s="14">
        <v>18.3</v>
      </c>
      <c r="E163" s="14">
        <v>28.9</v>
      </c>
      <c r="F163" s="14">
        <v>13.6</v>
      </c>
      <c r="G163" s="65">
        <f t="shared" si="13"/>
        <v>15.299999999999999</v>
      </c>
      <c r="H163" s="65">
        <f t="shared" si="14"/>
        <v>20.65</v>
      </c>
      <c r="I163" s="67">
        <v>20.877847222222229</v>
      </c>
      <c r="J163" s="14">
        <v>20.3</v>
      </c>
      <c r="K163" s="14">
        <v>12.2</v>
      </c>
      <c r="L163" s="67">
        <v>16.450208333333311</v>
      </c>
      <c r="M163" s="73">
        <v>96.2</v>
      </c>
      <c r="N163" s="24">
        <v>55.4</v>
      </c>
      <c r="O163" s="69">
        <v>77.341597222222248</v>
      </c>
      <c r="P163" s="102">
        <v>1018.74854633932</v>
      </c>
      <c r="Q163" s="21">
        <v>1011.90594898471</v>
      </c>
      <c r="R163" s="56">
        <v>1015.4378823359606</v>
      </c>
      <c r="S163" s="61">
        <v>10.20000000816</v>
      </c>
      <c r="T163" s="51">
        <v>5.7766666712879999</v>
      </c>
      <c r="U163" s="25">
        <v>2.2075757593418142</v>
      </c>
      <c r="V163" s="192" t="s">
        <v>215</v>
      </c>
      <c r="W163" s="194" t="s">
        <v>210</v>
      </c>
      <c r="X163" s="16">
        <v>36</v>
      </c>
      <c r="Y163" s="17">
        <v>5.9</v>
      </c>
      <c r="Z163" s="18">
        <v>0</v>
      </c>
      <c r="AA163" s="42">
        <v>0</v>
      </c>
      <c r="AB163" s="284" t="s">
        <v>271</v>
      </c>
    </row>
    <row r="164" spans="1:28" s="20" customFormat="1" x14ac:dyDescent="0.3">
      <c r="A164" s="38">
        <v>44723</v>
      </c>
      <c r="B164" s="39">
        <v>18.5</v>
      </c>
      <c r="C164" s="14">
        <v>25.8</v>
      </c>
      <c r="D164" s="14">
        <v>16.899999999999999</v>
      </c>
      <c r="E164" s="14">
        <v>26.7</v>
      </c>
      <c r="F164" s="14">
        <v>12</v>
      </c>
      <c r="G164" s="65">
        <f t="shared" si="13"/>
        <v>14.7</v>
      </c>
      <c r="H164" s="65">
        <f t="shared" si="14"/>
        <v>19.524999999999999</v>
      </c>
      <c r="I164" s="67">
        <v>19.570486111111141</v>
      </c>
      <c r="J164" s="14">
        <v>18.8</v>
      </c>
      <c r="K164" s="14">
        <v>10.8</v>
      </c>
      <c r="L164" s="67">
        <v>15.482083333333321</v>
      </c>
      <c r="M164" s="73">
        <v>95.1</v>
      </c>
      <c r="N164" s="24">
        <v>55.9</v>
      </c>
      <c r="O164" s="69">
        <v>78.411388888888894</v>
      </c>
      <c r="P164" s="102">
        <v>1020.51229738211</v>
      </c>
      <c r="Q164" s="21">
        <v>1017.61725361418</v>
      </c>
      <c r="R164" s="56">
        <v>1019.0164335800191</v>
      </c>
      <c r="S164" s="61">
        <v>8.5000000068000006</v>
      </c>
      <c r="T164" s="51">
        <v>4.9533333372959998</v>
      </c>
      <c r="U164" s="25">
        <v>1.9626207745169495</v>
      </c>
      <c r="V164" s="192" t="s">
        <v>215</v>
      </c>
      <c r="W164" s="194"/>
      <c r="X164" s="16">
        <v>0</v>
      </c>
      <c r="Y164" s="17">
        <v>0</v>
      </c>
      <c r="Z164" s="18">
        <v>0</v>
      </c>
      <c r="AA164" s="42">
        <v>0</v>
      </c>
      <c r="AB164" s="284" t="s">
        <v>335</v>
      </c>
    </row>
    <row r="165" spans="1:28" s="20" customFormat="1" x14ac:dyDescent="0.3">
      <c r="A165" s="38">
        <v>44724</v>
      </c>
      <c r="B165" s="39">
        <v>19.899999999999999</v>
      </c>
      <c r="C165" s="14">
        <v>28.5</v>
      </c>
      <c r="D165" s="14">
        <v>16.2</v>
      </c>
      <c r="E165" s="14">
        <v>29.2</v>
      </c>
      <c r="F165" s="14">
        <v>9.9</v>
      </c>
      <c r="G165" s="65">
        <f t="shared" si="13"/>
        <v>19.299999999999997</v>
      </c>
      <c r="H165" s="65">
        <f t="shared" si="14"/>
        <v>20.2</v>
      </c>
      <c r="I165" s="67">
        <v>19.862245614035082</v>
      </c>
      <c r="J165" s="14">
        <v>16.899999999999999</v>
      </c>
      <c r="K165" s="14">
        <v>9.1999999999999993</v>
      </c>
      <c r="L165" s="67">
        <v>13.070105263157934</v>
      </c>
      <c r="M165" s="73">
        <v>96.5</v>
      </c>
      <c r="N165" s="24">
        <v>38.1</v>
      </c>
      <c r="O165" s="69">
        <v>68.686035087719176</v>
      </c>
      <c r="P165" s="102">
        <v>1020.58625395272</v>
      </c>
      <c r="Q165" s="21">
        <v>1016.1460728692</v>
      </c>
      <c r="R165" s="56">
        <v>1018.5326745504877</v>
      </c>
      <c r="S165" s="61">
        <v>9.2000000073599999</v>
      </c>
      <c r="T165" s="51">
        <v>5.6566666711920002</v>
      </c>
      <c r="U165" s="25">
        <v>2.1263464354710848</v>
      </c>
      <c r="V165" s="192" t="s">
        <v>214</v>
      </c>
      <c r="W165" s="194"/>
      <c r="X165" s="16">
        <v>0</v>
      </c>
      <c r="Y165" s="17">
        <v>0</v>
      </c>
      <c r="Z165" s="18">
        <v>0</v>
      </c>
      <c r="AA165" s="42">
        <v>0</v>
      </c>
      <c r="AB165" s="284" t="s">
        <v>222</v>
      </c>
    </row>
    <row r="166" spans="1:28" s="20" customFormat="1" x14ac:dyDescent="0.3">
      <c r="A166" s="38">
        <v>44725</v>
      </c>
      <c r="B166" s="39">
        <v>17.100000000000001</v>
      </c>
      <c r="C166" s="14">
        <v>29</v>
      </c>
      <c r="D166" s="14">
        <v>13.7</v>
      </c>
      <c r="E166" s="14">
        <v>31.6</v>
      </c>
      <c r="F166" s="14">
        <v>9.1999999999999993</v>
      </c>
      <c r="G166" s="65">
        <f t="shared" si="13"/>
        <v>22.400000000000002</v>
      </c>
      <c r="H166" s="65">
        <f t="shared" si="14"/>
        <v>18.375</v>
      </c>
      <c r="I166" s="67">
        <v>18.496944444444448</v>
      </c>
      <c r="J166" s="14">
        <v>18.100000000000001</v>
      </c>
      <c r="K166" s="14">
        <v>8.4</v>
      </c>
      <c r="L166" s="67">
        <v>13.364305555555587</v>
      </c>
      <c r="M166" s="73">
        <v>96.5</v>
      </c>
      <c r="N166" s="24">
        <v>33.200000000000003</v>
      </c>
      <c r="O166" s="69">
        <v>76.543263888888717</v>
      </c>
      <c r="P166" s="102">
        <v>1018.16315723978</v>
      </c>
      <c r="Q166" s="21">
        <v>1009.3287393137</v>
      </c>
      <c r="R166" s="56">
        <v>1014.6100307889957</v>
      </c>
      <c r="S166" s="61">
        <v>8.8000000070399995</v>
      </c>
      <c r="T166" s="51">
        <v>4.993333337328</v>
      </c>
      <c r="U166" s="25">
        <v>1.2614545464637086</v>
      </c>
      <c r="V166" s="192" t="s">
        <v>213</v>
      </c>
      <c r="W166" s="195" t="s">
        <v>210</v>
      </c>
      <c r="X166" s="26">
        <v>72</v>
      </c>
      <c r="Y166" s="27">
        <v>11.1</v>
      </c>
      <c r="Z166" s="28">
        <v>0</v>
      </c>
      <c r="AA166" s="29">
        <v>0</v>
      </c>
      <c r="AB166" s="285" t="s">
        <v>340</v>
      </c>
    </row>
    <row r="167" spans="1:28" s="20" customFormat="1" x14ac:dyDescent="0.3">
      <c r="A167" s="38">
        <v>44726</v>
      </c>
      <c r="B167" s="39">
        <v>15.2</v>
      </c>
      <c r="C167" s="14">
        <v>23.2</v>
      </c>
      <c r="D167" s="14">
        <v>13.5</v>
      </c>
      <c r="E167" s="14">
        <v>24</v>
      </c>
      <c r="F167" s="14">
        <v>7.9</v>
      </c>
      <c r="G167" s="65">
        <f t="shared" si="13"/>
        <v>16.100000000000001</v>
      </c>
      <c r="H167" s="65">
        <f t="shared" si="14"/>
        <v>16.350000000000001</v>
      </c>
      <c r="I167" s="67">
        <v>16.011875000000007</v>
      </c>
      <c r="J167" s="14">
        <v>15.3</v>
      </c>
      <c r="K167" s="14">
        <v>6.7</v>
      </c>
      <c r="L167" s="67">
        <v>11.010555555555534</v>
      </c>
      <c r="M167" s="73">
        <v>97.3</v>
      </c>
      <c r="N167" s="24">
        <v>47.3</v>
      </c>
      <c r="O167" s="69">
        <v>74.419861111111004</v>
      </c>
      <c r="P167" s="102">
        <v>1021.82508210615</v>
      </c>
      <c r="Q167" s="21">
        <v>1017.25035561224</v>
      </c>
      <c r="R167" s="56">
        <v>1019.2114695006551</v>
      </c>
      <c r="S167" s="61">
        <v>6.5000000052000004</v>
      </c>
      <c r="T167" s="51">
        <v>3.9366666698160002</v>
      </c>
      <c r="U167" s="25">
        <v>1.2131712636701049</v>
      </c>
      <c r="V167" s="192" t="s">
        <v>215</v>
      </c>
      <c r="W167" s="195"/>
      <c r="X167" s="26">
        <v>0</v>
      </c>
      <c r="Y167" s="27">
        <v>0</v>
      </c>
      <c r="Z167" s="28">
        <v>0</v>
      </c>
      <c r="AA167" s="29">
        <v>0</v>
      </c>
      <c r="AB167" s="285" t="s">
        <v>274</v>
      </c>
    </row>
    <row r="168" spans="1:28" s="20" customFormat="1" x14ac:dyDescent="0.3">
      <c r="A168" s="38">
        <v>44727</v>
      </c>
      <c r="B168" s="39">
        <v>13.6</v>
      </c>
      <c r="C168" s="14">
        <v>24.8</v>
      </c>
      <c r="D168" s="14">
        <v>14</v>
      </c>
      <c r="E168" s="14">
        <v>25.9</v>
      </c>
      <c r="F168" s="14">
        <v>5.6</v>
      </c>
      <c r="G168" s="65">
        <f t="shared" si="13"/>
        <v>20.299999999999997</v>
      </c>
      <c r="H168" s="65">
        <f t="shared" si="14"/>
        <v>16.600000000000001</v>
      </c>
      <c r="I168" s="67">
        <v>16.06534722222225</v>
      </c>
      <c r="J168" s="14">
        <v>14.7</v>
      </c>
      <c r="K168" s="14">
        <v>4.8</v>
      </c>
      <c r="L168" s="67">
        <v>10.098263888888878</v>
      </c>
      <c r="M168" s="73">
        <v>96.2</v>
      </c>
      <c r="N168" s="24">
        <v>42.6</v>
      </c>
      <c r="O168" s="69">
        <v>70.996388888888916</v>
      </c>
      <c r="P168" s="102">
        <v>1022.57603415452</v>
      </c>
      <c r="Q168" s="21">
        <v>1018.48647819437</v>
      </c>
      <c r="R168" s="56">
        <v>1020.63910185406</v>
      </c>
      <c r="S168" s="61">
        <v>5.10000000408</v>
      </c>
      <c r="T168" s="51">
        <v>2.8666666689599998</v>
      </c>
      <c r="U168" s="25">
        <v>0.99850674453676447</v>
      </c>
      <c r="V168" s="192" t="s">
        <v>213</v>
      </c>
      <c r="W168" s="195"/>
      <c r="X168" s="26">
        <v>0</v>
      </c>
      <c r="Y168" s="27">
        <v>0</v>
      </c>
      <c r="Z168" s="28">
        <v>0</v>
      </c>
      <c r="AA168" s="29">
        <v>0</v>
      </c>
      <c r="AB168" s="285" t="s">
        <v>341</v>
      </c>
    </row>
    <row r="169" spans="1:28" s="20" customFormat="1" x14ac:dyDescent="0.3">
      <c r="A169" s="38">
        <v>44728</v>
      </c>
      <c r="B169" s="39">
        <v>13.9</v>
      </c>
      <c r="C169" s="14">
        <v>27.4</v>
      </c>
      <c r="D169" s="14">
        <v>16</v>
      </c>
      <c r="E169" s="14">
        <v>28.7</v>
      </c>
      <c r="F169" s="14">
        <v>7</v>
      </c>
      <c r="G169" s="65">
        <f t="shared" si="13"/>
        <v>21.7</v>
      </c>
      <c r="H169" s="65">
        <f t="shared" si="14"/>
        <v>18.324999999999999</v>
      </c>
      <c r="I169" s="67">
        <v>18.634791666666676</v>
      </c>
      <c r="J169" s="14">
        <v>17.100000000000001</v>
      </c>
      <c r="K169" s="14">
        <v>6.1</v>
      </c>
      <c r="L169" s="67">
        <v>12.296111111111104</v>
      </c>
      <c r="M169" s="73">
        <v>96.4</v>
      </c>
      <c r="N169" s="24">
        <v>39.1</v>
      </c>
      <c r="O169" s="69">
        <v>70.86812499999985</v>
      </c>
      <c r="P169" s="102">
        <v>1020.9717355821</v>
      </c>
      <c r="Q169" s="21">
        <v>1013.73234172556</v>
      </c>
      <c r="R169" s="56">
        <v>1017.8993167187411</v>
      </c>
      <c r="S169" s="61">
        <v>8.5000000068000006</v>
      </c>
      <c r="T169" s="51">
        <v>5.0333333373600011</v>
      </c>
      <c r="U169" s="25">
        <v>1.5696661841294623</v>
      </c>
      <c r="V169" s="192" t="s">
        <v>249</v>
      </c>
      <c r="W169" s="195" t="s">
        <v>210</v>
      </c>
      <c r="X169" s="26">
        <v>12</v>
      </c>
      <c r="Y169" s="27">
        <v>4.3</v>
      </c>
      <c r="Z169" s="28">
        <v>0</v>
      </c>
      <c r="AA169" s="29">
        <v>0</v>
      </c>
      <c r="AB169" s="285" t="s">
        <v>271</v>
      </c>
    </row>
    <row r="170" spans="1:28" s="20" customFormat="1" x14ac:dyDescent="0.3">
      <c r="A170" s="38">
        <v>44729</v>
      </c>
      <c r="B170" s="39">
        <v>18.2</v>
      </c>
      <c r="C170" s="14">
        <v>19.899999999999999</v>
      </c>
      <c r="D170" s="14">
        <v>14.1</v>
      </c>
      <c r="E170" s="14">
        <v>26.6</v>
      </c>
      <c r="F170" s="14">
        <v>9.6999999999999993</v>
      </c>
      <c r="G170" s="65">
        <f t="shared" si="13"/>
        <v>16.900000000000002</v>
      </c>
      <c r="H170" s="65">
        <f t="shared" si="14"/>
        <v>16.574999999999999</v>
      </c>
      <c r="I170" s="67">
        <v>17.855694444444438</v>
      </c>
      <c r="J170" s="14">
        <v>18.7</v>
      </c>
      <c r="K170" s="14">
        <v>8.6</v>
      </c>
      <c r="L170" s="67">
        <v>13.9217361111111</v>
      </c>
      <c r="M170" s="73">
        <v>96.9</v>
      </c>
      <c r="N170" s="24">
        <v>55</v>
      </c>
      <c r="O170" s="69">
        <v>79.15875000000004</v>
      </c>
      <c r="P170" s="102">
        <v>1023.18362082575</v>
      </c>
      <c r="Q170" s="21">
        <v>1016.65296369638</v>
      </c>
      <c r="R170" s="56">
        <v>1019.3089800855417</v>
      </c>
      <c r="S170" s="61">
        <v>8.8000000070399995</v>
      </c>
      <c r="T170" s="51">
        <v>4.9900000039919998</v>
      </c>
      <c r="U170" s="25">
        <v>1.582768566514952</v>
      </c>
      <c r="V170" s="192" t="s">
        <v>215</v>
      </c>
      <c r="W170" s="195"/>
      <c r="X170" s="26">
        <v>0</v>
      </c>
      <c r="Y170" s="27">
        <v>0</v>
      </c>
      <c r="Z170" s="28">
        <v>0</v>
      </c>
      <c r="AA170" s="29">
        <v>0</v>
      </c>
      <c r="AB170" s="285" t="s">
        <v>269</v>
      </c>
    </row>
    <row r="171" spans="1:28" s="20" customFormat="1" x14ac:dyDescent="0.3">
      <c r="A171" s="38">
        <v>44730</v>
      </c>
      <c r="B171" s="39">
        <v>16.2</v>
      </c>
      <c r="C171" s="14">
        <v>27.5</v>
      </c>
      <c r="D171" s="14">
        <v>18.3</v>
      </c>
      <c r="E171" s="14">
        <v>29.4</v>
      </c>
      <c r="F171" s="14">
        <v>7.3</v>
      </c>
      <c r="G171" s="65">
        <f t="shared" si="13"/>
        <v>22.099999999999998</v>
      </c>
      <c r="H171" s="65">
        <f t="shared" si="14"/>
        <v>20.075000000000003</v>
      </c>
      <c r="I171" s="67">
        <v>19.221180555555563</v>
      </c>
      <c r="J171" s="14">
        <v>16.899999999999999</v>
      </c>
      <c r="K171" s="14">
        <v>6.4</v>
      </c>
      <c r="L171" s="67">
        <v>12.240069444444428</v>
      </c>
      <c r="M171" s="73">
        <v>96.9</v>
      </c>
      <c r="N171" s="24">
        <v>37.9</v>
      </c>
      <c r="O171" s="69">
        <v>67.976041666666617</v>
      </c>
      <c r="P171" s="102">
        <v>1023.6252957553201</v>
      </c>
      <c r="Q171" s="21">
        <v>1017.1684554759699</v>
      </c>
      <c r="R171" s="56">
        <v>1020.5211693062283</v>
      </c>
      <c r="S171" s="61">
        <v>4.8000000038400001</v>
      </c>
      <c r="T171" s="51">
        <v>3.013333335744</v>
      </c>
      <c r="U171" s="25">
        <v>0.99843108938189229</v>
      </c>
      <c r="V171" s="192" t="s">
        <v>248</v>
      </c>
      <c r="W171" s="195"/>
      <c r="X171" s="26">
        <v>0</v>
      </c>
      <c r="Y171" s="27">
        <v>0</v>
      </c>
      <c r="Z171" s="28">
        <v>0</v>
      </c>
      <c r="AA171" s="29">
        <v>0</v>
      </c>
      <c r="AB171" s="285" t="s">
        <v>273</v>
      </c>
    </row>
    <row r="172" spans="1:28" s="20" customFormat="1" x14ac:dyDescent="0.3">
      <c r="A172" s="38">
        <v>44731</v>
      </c>
      <c r="B172" s="39">
        <v>17.8</v>
      </c>
      <c r="C172" s="14">
        <v>30.4</v>
      </c>
      <c r="D172" s="14">
        <v>25.4</v>
      </c>
      <c r="E172" s="14">
        <v>31.5</v>
      </c>
      <c r="F172" s="14">
        <v>9.6999999999999993</v>
      </c>
      <c r="G172" s="65">
        <f t="shared" si="13"/>
        <v>21.8</v>
      </c>
      <c r="H172" s="65">
        <f t="shared" si="14"/>
        <v>24.75</v>
      </c>
      <c r="I172" s="67">
        <v>22.627777777777791</v>
      </c>
      <c r="J172" s="14">
        <v>17.899999999999999</v>
      </c>
      <c r="K172" s="14">
        <v>8.8000000000000007</v>
      </c>
      <c r="L172" s="67">
        <v>13.924444444444429</v>
      </c>
      <c r="M172" s="73">
        <v>96</v>
      </c>
      <c r="N172" s="24">
        <v>39.700000000000003</v>
      </c>
      <c r="O172" s="69">
        <v>61.649097222222238</v>
      </c>
      <c r="P172" s="102">
        <v>1019.92771722641</v>
      </c>
      <c r="Q172" s="21">
        <v>1011.76713401529</v>
      </c>
      <c r="R172" s="56">
        <v>1015.8546850524885</v>
      </c>
      <c r="S172" s="61">
        <v>9.9000000079199992</v>
      </c>
      <c r="T172" s="51">
        <v>7.2666666724800013</v>
      </c>
      <c r="U172" s="25">
        <v>2.8139091373337295</v>
      </c>
      <c r="V172" s="192" t="s">
        <v>251</v>
      </c>
      <c r="W172" s="195"/>
      <c r="X172" s="26">
        <v>0</v>
      </c>
      <c r="Y172" s="27">
        <v>0</v>
      </c>
      <c r="Z172" s="28">
        <v>0</v>
      </c>
      <c r="AA172" s="29">
        <v>0</v>
      </c>
      <c r="AB172" s="285" t="s">
        <v>342</v>
      </c>
    </row>
    <row r="173" spans="1:28" s="20" customFormat="1" x14ac:dyDescent="0.3">
      <c r="A173" s="38">
        <v>44732</v>
      </c>
      <c r="B173" s="39">
        <v>22.3</v>
      </c>
      <c r="C173" s="14">
        <v>32</v>
      </c>
      <c r="D173" s="14">
        <v>21.8</v>
      </c>
      <c r="E173" s="14">
        <v>33.1</v>
      </c>
      <c r="F173" s="14">
        <v>12.3</v>
      </c>
      <c r="G173" s="65">
        <f t="shared" si="13"/>
        <v>20.8</v>
      </c>
      <c r="H173" s="65">
        <f t="shared" si="14"/>
        <v>24.475000000000001</v>
      </c>
      <c r="I173" s="67">
        <v>24.056111111111139</v>
      </c>
      <c r="J173" s="14">
        <v>18.5</v>
      </c>
      <c r="K173" s="14">
        <v>11</v>
      </c>
      <c r="L173" s="67">
        <v>15.074652777777786</v>
      </c>
      <c r="M173" s="73">
        <v>92.7</v>
      </c>
      <c r="N173" s="24">
        <v>34.9</v>
      </c>
      <c r="O173" s="69">
        <v>60.94368055555568</v>
      </c>
      <c r="P173" s="102">
        <v>1012.90330708433</v>
      </c>
      <c r="Q173" s="21">
        <v>1005.4920632204201</v>
      </c>
      <c r="R173" s="56">
        <v>1008.9465219206973</v>
      </c>
      <c r="S173" s="61">
        <v>10.500000008400001</v>
      </c>
      <c r="T173" s="51">
        <v>7.0066666722719999</v>
      </c>
      <c r="U173" s="25">
        <v>2.3398388667107315</v>
      </c>
      <c r="V173" s="192" t="s">
        <v>251</v>
      </c>
      <c r="W173" s="195" t="s">
        <v>261</v>
      </c>
      <c r="X173" s="26">
        <v>0</v>
      </c>
      <c r="Y173" s="27">
        <v>0</v>
      </c>
      <c r="Z173" s="28">
        <v>0</v>
      </c>
      <c r="AA173" s="29">
        <v>0</v>
      </c>
      <c r="AB173" s="285" t="s">
        <v>343</v>
      </c>
    </row>
    <row r="174" spans="1:28" s="20" customFormat="1" x14ac:dyDescent="0.3">
      <c r="A174" s="38">
        <v>44733</v>
      </c>
      <c r="B174" s="39">
        <v>15.8</v>
      </c>
      <c r="C174" s="14">
        <v>24.9</v>
      </c>
      <c r="D174" s="14">
        <v>14.4</v>
      </c>
      <c r="E174" s="14">
        <v>26.5</v>
      </c>
      <c r="F174" s="14">
        <v>10</v>
      </c>
      <c r="G174" s="65">
        <f t="shared" si="13"/>
        <v>16.5</v>
      </c>
      <c r="H174" s="65">
        <f t="shared" si="14"/>
        <v>17.375</v>
      </c>
      <c r="I174" s="67">
        <v>18.953263888888884</v>
      </c>
      <c r="J174" s="14">
        <v>17</v>
      </c>
      <c r="K174" s="14">
        <v>7</v>
      </c>
      <c r="L174" s="67">
        <v>11.130694444444465</v>
      </c>
      <c r="M174" s="73">
        <v>91.1</v>
      </c>
      <c r="N174" s="24">
        <v>37.799999999999997</v>
      </c>
      <c r="O174" s="69">
        <v>63.059236111111268</v>
      </c>
      <c r="P174" s="102">
        <v>1012.69011608062</v>
      </c>
      <c r="Q174" s="21">
        <v>1006.16919907136</v>
      </c>
      <c r="R174" s="56">
        <v>1010.1141178384063</v>
      </c>
      <c r="S174" s="61">
        <v>11.20000000896</v>
      </c>
      <c r="T174" s="51">
        <v>6.2033333382959999</v>
      </c>
      <c r="U174" s="25">
        <v>2.8755995226841584</v>
      </c>
      <c r="V174" s="192" t="s">
        <v>215</v>
      </c>
      <c r="W174" s="195"/>
      <c r="X174" s="26">
        <v>0</v>
      </c>
      <c r="Y174" s="27">
        <v>0</v>
      </c>
      <c r="Z174" s="28">
        <v>0</v>
      </c>
      <c r="AA174" s="29">
        <v>0</v>
      </c>
      <c r="AB174" s="285" t="s">
        <v>266</v>
      </c>
    </row>
    <row r="175" spans="1:28" s="20" customFormat="1" x14ac:dyDescent="0.3">
      <c r="A175" s="38">
        <v>44734</v>
      </c>
      <c r="B175" s="39">
        <v>20</v>
      </c>
      <c r="C175" s="14">
        <v>28.3</v>
      </c>
      <c r="D175" s="14">
        <v>15.7</v>
      </c>
      <c r="E175" s="14">
        <v>28.4</v>
      </c>
      <c r="F175" s="14">
        <v>8.1</v>
      </c>
      <c r="G175" s="65">
        <f t="shared" si="13"/>
        <v>20.299999999999997</v>
      </c>
      <c r="H175" s="65">
        <f t="shared" si="14"/>
        <v>19.924999999999997</v>
      </c>
      <c r="I175" s="67">
        <v>18.657013888888901</v>
      </c>
      <c r="J175" s="14">
        <v>14.2</v>
      </c>
      <c r="K175" s="14">
        <v>6.8</v>
      </c>
      <c r="L175" s="67">
        <v>10.209236111111135</v>
      </c>
      <c r="M175" s="73">
        <v>93.5</v>
      </c>
      <c r="N175" s="24">
        <v>35.299999999999997</v>
      </c>
      <c r="O175" s="69">
        <v>61.627638888888924</v>
      </c>
      <c r="P175" s="102">
        <v>1013.77579643954</v>
      </c>
      <c r="Q175" s="21">
        <v>1010.29912098861</v>
      </c>
      <c r="R175" s="56">
        <v>1011.875875328379</v>
      </c>
      <c r="S175" s="61">
        <v>8.2000000065599998</v>
      </c>
      <c r="T175" s="51">
        <v>5.2400000041919998</v>
      </c>
      <c r="U175" s="25">
        <v>2.018580025682251</v>
      </c>
      <c r="V175" s="192" t="s">
        <v>215</v>
      </c>
      <c r="W175" s="195"/>
      <c r="X175" s="26">
        <v>0</v>
      </c>
      <c r="Y175" s="27">
        <v>0</v>
      </c>
      <c r="Z175" s="28">
        <v>0</v>
      </c>
      <c r="AA175" s="29">
        <v>0</v>
      </c>
      <c r="AB175" s="285" t="s">
        <v>266</v>
      </c>
    </row>
    <row r="176" spans="1:28" s="20" customFormat="1" x14ac:dyDescent="0.3">
      <c r="A176" s="38">
        <v>44735</v>
      </c>
      <c r="B176" s="39">
        <v>16.7</v>
      </c>
      <c r="C176" s="14">
        <v>29.8</v>
      </c>
      <c r="D176" s="14">
        <v>16.100000000000001</v>
      </c>
      <c r="E176" s="14">
        <v>29</v>
      </c>
      <c r="F176" s="14">
        <v>7.9</v>
      </c>
      <c r="G176" s="65">
        <f t="shared" si="13"/>
        <v>21.1</v>
      </c>
      <c r="H176" s="65">
        <f t="shared" si="14"/>
        <v>19.675000000000001</v>
      </c>
      <c r="I176" s="67">
        <v>19.162152777777774</v>
      </c>
      <c r="J176" s="14">
        <v>15.5</v>
      </c>
      <c r="K176" s="14">
        <v>6.7</v>
      </c>
      <c r="L176" s="67">
        <v>11.210416666666671</v>
      </c>
      <c r="M176" s="73">
        <v>94</v>
      </c>
      <c r="N176" s="24">
        <v>34.5</v>
      </c>
      <c r="O176" s="69">
        <v>64.169791666666626</v>
      </c>
      <c r="P176" s="102">
        <v>1017.1397748322599</v>
      </c>
      <c r="Q176" s="21">
        <v>1013.31867635938</v>
      </c>
      <c r="R176" s="56">
        <v>1014.6219582924496</v>
      </c>
      <c r="S176" s="61">
        <v>7.8000000062400003</v>
      </c>
      <c r="T176" s="51">
        <v>4.9366666706159998</v>
      </c>
      <c r="U176" s="25">
        <v>1.5104558622792741</v>
      </c>
      <c r="V176" s="192" t="s">
        <v>214</v>
      </c>
      <c r="W176" s="195"/>
      <c r="X176" s="26">
        <v>0</v>
      </c>
      <c r="Y176" s="27">
        <v>0</v>
      </c>
      <c r="Z176" s="28">
        <v>0</v>
      </c>
      <c r="AA176" s="29">
        <v>0</v>
      </c>
      <c r="AB176" s="285" t="s">
        <v>269</v>
      </c>
    </row>
    <row r="177" spans="1:28" s="20" customFormat="1" x14ac:dyDescent="0.3">
      <c r="A177" s="38">
        <v>44736</v>
      </c>
      <c r="B177" s="39">
        <v>16.100000000000001</v>
      </c>
      <c r="C177" s="14">
        <v>30.8</v>
      </c>
      <c r="D177" s="14">
        <v>18.600000000000001</v>
      </c>
      <c r="E177" s="14">
        <v>30.9</v>
      </c>
      <c r="F177" s="14">
        <v>7.5</v>
      </c>
      <c r="G177" s="65">
        <f t="shared" si="13"/>
        <v>23.4</v>
      </c>
      <c r="H177" s="65">
        <f t="shared" si="14"/>
        <v>21.025000000000002</v>
      </c>
      <c r="I177" s="67">
        <v>20.426527777777775</v>
      </c>
      <c r="J177" s="14">
        <v>16.399999999999999</v>
      </c>
      <c r="K177" s="14">
        <v>6.6</v>
      </c>
      <c r="L177" s="67">
        <v>12.403333333333325</v>
      </c>
      <c r="M177" s="73">
        <v>96</v>
      </c>
      <c r="N177" s="24">
        <v>33.9</v>
      </c>
      <c r="O177" s="69">
        <v>64.913333333333213</v>
      </c>
      <c r="P177" s="102">
        <v>1017.70678969456</v>
      </c>
      <c r="Q177" s="21">
        <v>1011.4555352052701</v>
      </c>
      <c r="R177" s="56">
        <v>1014.4823135250628</v>
      </c>
      <c r="S177" s="61">
        <v>6.8000000054400003</v>
      </c>
      <c r="T177" s="51">
        <v>3.8700000030960005</v>
      </c>
      <c r="U177" s="25">
        <v>1.2842781018026155</v>
      </c>
      <c r="V177" s="192" t="s">
        <v>248</v>
      </c>
      <c r="W177" s="195"/>
      <c r="X177" s="26">
        <v>0</v>
      </c>
      <c r="Y177" s="27">
        <v>0</v>
      </c>
      <c r="Z177" s="28">
        <v>0</v>
      </c>
      <c r="AA177" s="29">
        <v>0</v>
      </c>
      <c r="AB177" s="285" t="s">
        <v>273</v>
      </c>
    </row>
    <row r="178" spans="1:28" s="20" customFormat="1" x14ac:dyDescent="0.3">
      <c r="A178" s="38">
        <v>44737</v>
      </c>
      <c r="B178" s="39">
        <v>18.8</v>
      </c>
      <c r="C178" s="14">
        <v>31</v>
      </c>
      <c r="D178" s="14">
        <v>19.3</v>
      </c>
      <c r="E178" s="14">
        <v>32.200000000000003</v>
      </c>
      <c r="F178" s="14">
        <v>10.6</v>
      </c>
      <c r="G178" s="65">
        <f t="shared" si="13"/>
        <v>21.6</v>
      </c>
      <c r="H178" s="65">
        <f t="shared" si="14"/>
        <v>22.1</v>
      </c>
      <c r="I178" s="67">
        <v>22.338958333333263</v>
      </c>
      <c r="J178" s="14">
        <v>18.399999999999999</v>
      </c>
      <c r="K178" s="14">
        <v>9.6999999999999993</v>
      </c>
      <c r="L178" s="67">
        <v>14.295624999999998</v>
      </c>
      <c r="M178" s="73">
        <v>95.8</v>
      </c>
      <c r="N178" s="24">
        <v>34.700000000000003</v>
      </c>
      <c r="O178" s="69">
        <v>65.031319444444463</v>
      </c>
      <c r="P178" s="102">
        <v>1014.28252258278</v>
      </c>
      <c r="Q178" s="21">
        <v>1010.16928422809</v>
      </c>
      <c r="R178" s="56">
        <v>1012.4226419447983</v>
      </c>
      <c r="S178" s="61">
        <v>6.10000000488</v>
      </c>
      <c r="T178" s="51">
        <v>3.4866666694559996</v>
      </c>
      <c r="U178" s="25">
        <v>1.0074127565219355</v>
      </c>
      <c r="V178" s="192" t="s">
        <v>248</v>
      </c>
      <c r="W178" s="195"/>
      <c r="X178" s="26">
        <v>0</v>
      </c>
      <c r="Y178" s="27">
        <v>0</v>
      </c>
      <c r="Z178" s="28">
        <v>0</v>
      </c>
      <c r="AA178" s="29">
        <v>0</v>
      </c>
      <c r="AB178" s="285" t="s">
        <v>266</v>
      </c>
    </row>
    <row r="179" spans="1:28" s="20" customFormat="1" ht="28.8" x14ac:dyDescent="0.3">
      <c r="A179" s="38">
        <v>44738</v>
      </c>
      <c r="B179" s="39">
        <v>20.100000000000001</v>
      </c>
      <c r="C179" s="14">
        <v>33.4</v>
      </c>
      <c r="D179" s="14">
        <v>22.2</v>
      </c>
      <c r="E179" s="14">
        <v>33.799999999999997</v>
      </c>
      <c r="F179" s="14">
        <v>12</v>
      </c>
      <c r="G179" s="65">
        <f t="shared" ref="G179:G184" si="15">E179-F179</f>
        <v>21.799999999999997</v>
      </c>
      <c r="H179" s="65">
        <f t="shared" si="14"/>
        <v>24.475000000000001</v>
      </c>
      <c r="I179" s="67">
        <v>24.045296167247383</v>
      </c>
      <c r="J179" s="14">
        <v>18.3</v>
      </c>
      <c r="K179" s="14">
        <v>11</v>
      </c>
      <c r="L179" s="67">
        <v>15.278675958188183</v>
      </c>
      <c r="M179" s="73">
        <v>94.7</v>
      </c>
      <c r="N179" s="24">
        <v>33.700000000000003</v>
      </c>
      <c r="O179" s="69">
        <v>62.397770034843198</v>
      </c>
      <c r="P179" s="102">
        <v>1018.56043876224</v>
      </c>
      <c r="Q179" s="21">
        <v>1013.3117235941201</v>
      </c>
      <c r="R179" s="56">
        <v>1015.0699975521062</v>
      </c>
      <c r="S179" s="61">
        <v>6.8000000054400003</v>
      </c>
      <c r="T179" s="51">
        <v>4.2233333367119998</v>
      </c>
      <c r="U179" s="25">
        <v>1.2833453941767021</v>
      </c>
      <c r="V179" s="192" t="s">
        <v>213</v>
      </c>
      <c r="W179" s="195"/>
      <c r="X179" s="26">
        <v>0</v>
      </c>
      <c r="Y179" s="27">
        <v>0</v>
      </c>
      <c r="Z179" s="28">
        <v>0</v>
      </c>
      <c r="AA179" s="29">
        <v>0</v>
      </c>
      <c r="AB179" s="285" t="s">
        <v>344</v>
      </c>
    </row>
    <row r="180" spans="1:28" s="20" customFormat="1" x14ac:dyDescent="0.3">
      <c r="A180" s="38">
        <v>44739</v>
      </c>
      <c r="B180" s="39">
        <v>21.2</v>
      </c>
      <c r="C180" s="14">
        <v>33</v>
      </c>
      <c r="D180" s="14">
        <v>20.8</v>
      </c>
      <c r="E180" s="14">
        <v>32.6</v>
      </c>
      <c r="F180" s="14">
        <v>13.7</v>
      </c>
      <c r="G180" s="65">
        <f t="shared" si="15"/>
        <v>18.900000000000002</v>
      </c>
      <c r="H180" s="65">
        <f t="shared" si="14"/>
        <v>23.950000000000003</v>
      </c>
      <c r="I180" s="67">
        <v>23.9002083333333</v>
      </c>
      <c r="J180" s="14">
        <v>19.5</v>
      </c>
      <c r="K180" s="14">
        <v>12.7</v>
      </c>
      <c r="L180" s="67">
        <v>15.744236111111064</v>
      </c>
      <c r="M180" s="73">
        <v>94.8</v>
      </c>
      <c r="N180" s="24">
        <v>37.6</v>
      </c>
      <c r="O180" s="69">
        <v>64.423055555555607</v>
      </c>
      <c r="P180" s="102">
        <v>1019.70961807504</v>
      </c>
      <c r="Q180" s="21">
        <v>1015.80434572518</v>
      </c>
      <c r="R180" s="56">
        <v>1017.8355472341129</v>
      </c>
      <c r="S180" s="61">
        <v>6.10000000488</v>
      </c>
      <c r="T180" s="51">
        <v>4.3800000035040005</v>
      </c>
      <c r="U180" s="25">
        <v>1.3693766948624364</v>
      </c>
      <c r="V180" s="192" t="s">
        <v>249</v>
      </c>
      <c r="W180" s="195"/>
      <c r="X180" s="26">
        <v>0</v>
      </c>
      <c r="Y180" s="27">
        <v>0</v>
      </c>
      <c r="Z180" s="28">
        <v>0</v>
      </c>
      <c r="AA180" s="29">
        <v>0</v>
      </c>
      <c r="AB180" s="285" t="s">
        <v>273</v>
      </c>
    </row>
    <row r="181" spans="1:28" s="20" customFormat="1" x14ac:dyDescent="0.3">
      <c r="A181" s="38">
        <v>44740</v>
      </c>
      <c r="B181" s="39">
        <v>21.6</v>
      </c>
      <c r="C181" s="14">
        <v>34.9</v>
      </c>
      <c r="D181" s="14">
        <v>20.8</v>
      </c>
      <c r="E181" s="14">
        <v>34.799999999999997</v>
      </c>
      <c r="F181" s="14">
        <v>13.1</v>
      </c>
      <c r="G181" s="65">
        <f t="shared" si="15"/>
        <v>21.699999999999996</v>
      </c>
      <c r="H181" s="65">
        <f t="shared" si="14"/>
        <v>24.524999999999999</v>
      </c>
      <c r="I181" s="67">
        <v>23.868541666666701</v>
      </c>
      <c r="J181" s="14">
        <v>20.5</v>
      </c>
      <c r="K181" s="14">
        <v>12.1</v>
      </c>
      <c r="L181" s="67">
        <v>17.339097222222268</v>
      </c>
      <c r="M181" s="73">
        <v>95.3</v>
      </c>
      <c r="N181" s="24">
        <v>37.9</v>
      </c>
      <c r="O181" s="69">
        <v>70.769930555555661</v>
      </c>
      <c r="P181" s="102">
        <v>1019.52606279884</v>
      </c>
      <c r="Q181" s="21">
        <v>1014.85953910483</v>
      </c>
      <c r="R181" s="56">
        <v>1017.6449603175876</v>
      </c>
      <c r="S181" s="61">
        <v>7.1000000056800001</v>
      </c>
      <c r="T181" s="51">
        <v>4.2633333367440001</v>
      </c>
      <c r="U181" s="25">
        <v>1.1971897819796489</v>
      </c>
      <c r="V181" s="192" t="s">
        <v>248</v>
      </c>
      <c r="W181" s="195"/>
      <c r="X181" s="26">
        <v>0</v>
      </c>
      <c r="Y181" s="27">
        <v>0</v>
      </c>
      <c r="Z181" s="28">
        <v>0</v>
      </c>
      <c r="AA181" s="29">
        <v>0</v>
      </c>
      <c r="AB181" s="285" t="s">
        <v>347</v>
      </c>
    </row>
    <row r="182" spans="1:28" s="20" customFormat="1" x14ac:dyDescent="0.3">
      <c r="A182" s="38">
        <v>44741</v>
      </c>
      <c r="B182" s="39">
        <v>23.4</v>
      </c>
      <c r="C182" s="14">
        <v>35.4</v>
      </c>
      <c r="D182" s="14">
        <v>22.6</v>
      </c>
      <c r="E182" s="14">
        <v>36.6</v>
      </c>
      <c r="F182" s="14">
        <v>17.100000000000001</v>
      </c>
      <c r="G182" s="65">
        <f t="shared" si="15"/>
        <v>19.5</v>
      </c>
      <c r="H182" s="65">
        <f t="shared" si="14"/>
        <v>26</v>
      </c>
      <c r="I182" s="67">
        <v>26.581388888888792</v>
      </c>
      <c r="J182" s="14">
        <v>23.2</v>
      </c>
      <c r="K182" s="14">
        <v>16.3</v>
      </c>
      <c r="L182" s="67">
        <v>19.10472222222219</v>
      </c>
      <c r="M182" s="73">
        <v>95.8</v>
      </c>
      <c r="N182" s="24">
        <v>37</v>
      </c>
      <c r="O182" s="69">
        <v>67.553194444444344</v>
      </c>
      <c r="P182" s="102">
        <v>1018.62320004143</v>
      </c>
      <c r="Q182" s="21">
        <v>1011.57310451373</v>
      </c>
      <c r="R182" s="56">
        <v>1014.7906175974213</v>
      </c>
      <c r="S182" s="61">
        <v>6.5000000052000004</v>
      </c>
      <c r="T182" s="51">
        <v>3.4466666694239998</v>
      </c>
      <c r="U182" s="25">
        <v>1.1128530059590807</v>
      </c>
      <c r="V182" s="192" t="s">
        <v>253</v>
      </c>
      <c r="W182" s="195"/>
      <c r="X182" s="26">
        <v>0</v>
      </c>
      <c r="Y182" s="27">
        <v>0</v>
      </c>
      <c r="Z182" s="28">
        <v>0</v>
      </c>
      <c r="AA182" s="29">
        <v>0</v>
      </c>
      <c r="AB182" s="285" t="s">
        <v>273</v>
      </c>
    </row>
    <row r="183" spans="1:28" s="343" customFormat="1" ht="15" thickBot="1" x14ac:dyDescent="0.35">
      <c r="A183" s="38">
        <v>44742</v>
      </c>
      <c r="B183" s="323">
        <v>24.6</v>
      </c>
      <c r="C183" s="324">
        <v>37.1</v>
      </c>
      <c r="D183" s="324">
        <v>24.1</v>
      </c>
      <c r="E183" s="324">
        <v>37.9</v>
      </c>
      <c r="F183" s="324">
        <v>17.3</v>
      </c>
      <c r="G183" s="325">
        <f t="shared" si="15"/>
        <v>20.599999999999998</v>
      </c>
      <c r="H183" s="325">
        <f>(B183+C183+2*D183)/4</f>
        <v>27.475000000000001</v>
      </c>
      <c r="I183" s="326">
        <v>27.790277777777778</v>
      </c>
      <c r="J183" s="324">
        <v>23.9</v>
      </c>
      <c r="K183" s="324">
        <v>15.3</v>
      </c>
      <c r="L183" s="326">
        <v>17.94326388888889</v>
      </c>
      <c r="M183" s="327">
        <v>94.2</v>
      </c>
      <c r="N183" s="328">
        <v>27.7</v>
      </c>
      <c r="O183" s="329">
        <v>60.605972222222228</v>
      </c>
      <c r="P183" s="330">
        <v>1013.90321606501</v>
      </c>
      <c r="Q183" s="331">
        <v>1010.04341250707</v>
      </c>
      <c r="R183" s="332">
        <v>1012.2350580334316</v>
      </c>
      <c r="S183" s="333">
        <v>6.5000000052000004</v>
      </c>
      <c r="T183" s="334">
        <v>3.6233333362320002</v>
      </c>
      <c r="U183" s="335">
        <v>1.0579234981141006</v>
      </c>
      <c r="V183" s="336" t="s">
        <v>248</v>
      </c>
      <c r="W183" s="337"/>
      <c r="X183" s="338">
        <v>0</v>
      </c>
      <c r="Y183" s="339">
        <v>0</v>
      </c>
      <c r="Z183" s="340">
        <v>0</v>
      </c>
      <c r="AA183" s="341">
        <v>0</v>
      </c>
      <c r="AB183" s="342" t="s">
        <v>272</v>
      </c>
    </row>
    <row r="184" spans="1:28" s="361" customFormat="1" x14ac:dyDescent="0.3">
      <c r="A184" s="38">
        <v>44743</v>
      </c>
      <c r="B184" s="344">
        <v>22.8</v>
      </c>
      <c r="C184" s="345">
        <v>36.9</v>
      </c>
      <c r="D184" s="345">
        <v>27.1</v>
      </c>
      <c r="E184" s="345">
        <v>38.1</v>
      </c>
      <c r="F184" s="345">
        <v>16.100000000000001</v>
      </c>
      <c r="G184" s="346">
        <f t="shared" si="15"/>
        <v>22</v>
      </c>
      <c r="H184" s="346">
        <f>(B184+C184+2*D184)/4</f>
        <v>28.475000000000001</v>
      </c>
      <c r="I184" s="347">
        <v>28</v>
      </c>
      <c r="J184" s="373">
        <v>21.4</v>
      </c>
      <c r="K184" s="345">
        <v>14.2</v>
      </c>
      <c r="L184" s="347">
        <v>17.519166666666663</v>
      </c>
      <c r="M184" s="374">
        <v>94.7</v>
      </c>
      <c r="N184" s="349">
        <v>26.5</v>
      </c>
      <c r="O184" s="350">
        <v>59.134444444444419</v>
      </c>
      <c r="P184" s="351">
        <v>1014.70329614409</v>
      </c>
      <c r="Q184" s="352">
        <v>1009.48771951757</v>
      </c>
      <c r="R184" s="353">
        <v>1012.0925539465038</v>
      </c>
      <c r="S184" s="317">
        <v>8.8000000070399995</v>
      </c>
      <c r="T184" s="318">
        <v>5.0066666706719998</v>
      </c>
      <c r="U184" s="318">
        <v>1.5589304269999946</v>
      </c>
      <c r="V184" s="319" t="s">
        <v>251</v>
      </c>
      <c r="W184" s="355" t="s">
        <v>210</v>
      </c>
      <c r="X184" s="356">
        <v>72</v>
      </c>
      <c r="Y184" s="357">
        <v>9.6999999999999993</v>
      </c>
      <c r="Z184" s="358">
        <v>0</v>
      </c>
      <c r="AA184" s="359">
        <v>0</v>
      </c>
      <c r="AB184" s="360" t="s">
        <v>273</v>
      </c>
    </row>
    <row r="185" spans="1:28" s="20" customFormat="1" x14ac:dyDescent="0.3">
      <c r="A185" s="38">
        <v>44744</v>
      </c>
      <c r="B185" s="39">
        <v>19.899999999999999</v>
      </c>
      <c r="C185" s="14">
        <v>27.3</v>
      </c>
      <c r="D185" s="14">
        <v>19.3</v>
      </c>
      <c r="E185" s="14">
        <v>27.5</v>
      </c>
      <c r="F185" s="14">
        <v>17.5</v>
      </c>
      <c r="G185" s="65">
        <f t="shared" ref="G185:G208" si="16">E185-F185</f>
        <v>10</v>
      </c>
      <c r="H185" s="65">
        <f t="shared" ref="H185:H212" si="17">(B185+C185+2*D185)/4</f>
        <v>21.450000000000003</v>
      </c>
      <c r="I185" s="67">
        <v>21.8</v>
      </c>
      <c r="J185" s="180">
        <v>21.1</v>
      </c>
      <c r="K185" s="14">
        <v>14.9</v>
      </c>
      <c r="L185" s="67">
        <v>18.355934612650998</v>
      </c>
      <c r="M185" s="170">
        <v>94.9</v>
      </c>
      <c r="N185" s="31">
        <v>60.6</v>
      </c>
      <c r="O185" s="95">
        <v>82.833546552949585</v>
      </c>
      <c r="P185" s="102">
        <v>1022.69814834823</v>
      </c>
      <c r="Q185" s="21">
        <v>1014.72982483127</v>
      </c>
      <c r="R185" s="60">
        <v>1020.5370353834591</v>
      </c>
      <c r="S185" s="61">
        <v>8.8000000070399995</v>
      </c>
      <c r="T185" s="51">
        <v>5.2800000042240001</v>
      </c>
      <c r="U185" s="25">
        <v>1.7933132997066243</v>
      </c>
      <c r="V185" s="192" t="s">
        <v>215</v>
      </c>
      <c r="W185" s="193"/>
      <c r="X185" s="16">
        <v>0</v>
      </c>
      <c r="Y185" s="17">
        <v>0</v>
      </c>
      <c r="Z185" s="18">
        <v>0</v>
      </c>
      <c r="AA185" s="42">
        <v>0</v>
      </c>
      <c r="AB185" s="284" t="s">
        <v>231</v>
      </c>
    </row>
    <row r="186" spans="1:28" s="20" customFormat="1" x14ac:dyDescent="0.3">
      <c r="A186" s="38">
        <v>44745</v>
      </c>
      <c r="B186" s="39">
        <v>19</v>
      </c>
      <c r="C186" s="14">
        <v>31.9</v>
      </c>
      <c r="D186" s="14">
        <v>22.1</v>
      </c>
      <c r="E186" s="14">
        <v>32.200000000000003</v>
      </c>
      <c r="F186" s="14">
        <v>14.4</v>
      </c>
      <c r="G186" s="65">
        <f t="shared" si="16"/>
        <v>17.800000000000004</v>
      </c>
      <c r="H186" s="65">
        <f t="shared" si="17"/>
        <v>23.774999999999999</v>
      </c>
      <c r="I186" s="67">
        <v>23.213333333333331</v>
      </c>
      <c r="J186" s="180">
        <v>21.4</v>
      </c>
      <c r="K186" s="14">
        <v>13.4</v>
      </c>
      <c r="L186" s="67">
        <v>16.752569444444436</v>
      </c>
      <c r="M186" s="170">
        <v>95.8</v>
      </c>
      <c r="N186" s="31">
        <v>43.8</v>
      </c>
      <c r="O186" s="95">
        <v>69.892777777777667</v>
      </c>
      <c r="P186" s="102">
        <v>1021.83390808437</v>
      </c>
      <c r="Q186" s="21">
        <v>1014.8259635399</v>
      </c>
      <c r="R186" s="60">
        <v>1018.1079293460969</v>
      </c>
      <c r="S186" s="61">
        <v>6.8000000054400003</v>
      </c>
      <c r="T186" s="51">
        <v>4.0566666699119995</v>
      </c>
      <c r="U186" s="25">
        <v>1.2581464883009885</v>
      </c>
      <c r="V186" s="192" t="s">
        <v>214</v>
      </c>
      <c r="W186" s="193"/>
      <c r="X186" s="16">
        <v>0</v>
      </c>
      <c r="Y186" s="17">
        <v>0</v>
      </c>
      <c r="Z186" s="18">
        <v>0</v>
      </c>
      <c r="AA186" s="42">
        <v>0</v>
      </c>
      <c r="AB186" s="284" t="s">
        <v>272</v>
      </c>
    </row>
    <row r="187" spans="1:28" s="20" customFormat="1" x14ac:dyDescent="0.3">
      <c r="A187" s="38">
        <v>44746</v>
      </c>
      <c r="B187" s="39">
        <v>21.5</v>
      </c>
      <c r="C187" s="14">
        <v>34.799999999999997</v>
      </c>
      <c r="D187" s="14">
        <v>20.2</v>
      </c>
      <c r="E187" s="14">
        <v>36.6</v>
      </c>
      <c r="F187" s="14">
        <v>13.5</v>
      </c>
      <c r="G187" s="65">
        <f t="shared" si="16"/>
        <v>23.1</v>
      </c>
      <c r="H187" s="65">
        <f t="shared" si="17"/>
        <v>24.174999999999997</v>
      </c>
      <c r="I187" s="67">
        <v>24.125902777777771</v>
      </c>
      <c r="J187" s="180">
        <v>21.7</v>
      </c>
      <c r="K187" s="14">
        <v>12.5</v>
      </c>
      <c r="L187" s="67">
        <v>15.749305555555594</v>
      </c>
      <c r="M187" s="170">
        <v>95.4</v>
      </c>
      <c r="N187" s="31">
        <v>31.4</v>
      </c>
      <c r="O187" s="95">
        <v>64.203750000000085</v>
      </c>
      <c r="P187" s="102">
        <v>1017.05413454539</v>
      </c>
      <c r="Q187" s="21">
        <v>1013.95744008151</v>
      </c>
      <c r="R187" s="60">
        <v>1015.4775319015388</v>
      </c>
      <c r="S187" s="62">
        <v>7.1000000056800001</v>
      </c>
      <c r="T187" s="52">
        <v>3.7666666696799993</v>
      </c>
      <c r="U187" s="19">
        <v>1.2051198266721583</v>
      </c>
      <c r="V187" s="192" t="s">
        <v>214</v>
      </c>
      <c r="W187" s="194"/>
      <c r="X187" s="16">
        <v>0</v>
      </c>
      <c r="Y187" s="17">
        <v>0</v>
      </c>
      <c r="Z187" s="18">
        <v>0</v>
      </c>
      <c r="AA187" s="42">
        <v>0</v>
      </c>
      <c r="AB187" s="284" t="s">
        <v>273</v>
      </c>
    </row>
    <row r="188" spans="1:28" s="20" customFormat="1" x14ac:dyDescent="0.3">
      <c r="A188" s="38">
        <v>44747</v>
      </c>
      <c r="B188" s="39">
        <v>21.2</v>
      </c>
      <c r="C188" s="14">
        <v>31.7</v>
      </c>
      <c r="D188" s="14">
        <v>18.7</v>
      </c>
      <c r="E188" s="14">
        <v>31.9</v>
      </c>
      <c r="F188" s="14">
        <v>13.8</v>
      </c>
      <c r="G188" s="65">
        <f t="shared" si="16"/>
        <v>18.099999999999998</v>
      </c>
      <c r="H188" s="65">
        <f t="shared" si="17"/>
        <v>22.574999999999999</v>
      </c>
      <c r="I188" s="67">
        <v>21.785902777777828</v>
      </c>
      <c r="J188" s="180">
        <v>21.1</v>
      </c>
      <c r="K188" s="14">
        <v>12.6</v>
      </c>
      <c r="L188" s="67">
        <v>16.945277777777836</v>
      </c>
      <c r="M188" s="170">
        <v>94.3</v>
      </c>
      <c r="N188" s="31">
        <v>51.3</v>
      </c>
      <c r="O188" s="95">
        <v>76.08638888888899</v>
      </c>
      <c r="P188" s="102">
        <v>1016.3836439128</v>
      </c>
      <c r="Q188" s="21">
        <v>1011.38409901639</v>
      </c>
      <c r="R188" s="60">
        <v>1014.3711568610847</v>
      </c>
      <c r="S188" s="61">
        <v>11.20000000896</v>
      </c>
      <c r="T188" s="51">
        <v>6.8233333387919997</v>
      </c>
      <c r="U188" s="25">
        <v>1.8500375672200755</v>
      </c>
      <c r="V188" s="192" t="s">
        <v>250</v>
      </c>
      <c r="W188" s="194" t="s">
        <v>210</v>
      </c>
      <c r="X188" s="16">
        <v>120</v>
      </c>
      <c r="Y188" s="17">
        <v>22.4</v>
      </c>
      <c r="Z188" s="18">
        <v>0</v>
      </c>
      <c r="AA188" s="42">
        <v>0</v>
      </c>
      <c r="AB188" s="284" t="s">
        <v>355</v>
      </c>
    </row>
    <row r="189" spans="1:28" s="20" customFormat="1" x14ac:dyDescent="0.3">
      <c r="A189" s="38">
        <v>44748</v>
      </c>
      <c r="B189" s="39">
        <v>17.100000000000001</v>
      </c>
      <c r="C189" s="14">
        <v>24.9</v>
      </c>
      <c r="D189" s="14">
        <v>15.3</v>
      </c>
      <c r="E189" s="14">
        <v>27.5</v>
      </c>
      <c r="F189" s="14">
        <v>11.6</v>
      </c>
      <c r="G189" s="65">
        <f t="shared" si="16"/>
        <v>15.9</v>
      </c>
      <c r="H189" s="65">
        <f t="shared" si="17"/>
        <v>18.149999999999999</v>
      </c>
      <c r="I189" s="67">
        <v>19.161041666666694</v>
      </c>
      <c r="J189" s="180">
        <v>20.3</v>
      </c>
      <c r="K189" s="14">
        <v>10.4</v>
      </c>
      <c r="L189" s="67">
        <v>15.410277777777777</v>
      </c>
      <c r="M189" s="170">
        <v>95.7</v>
      </c>
      <c r="N189" s="31">
        <v>51.3</v>
      </c>
      <c r="O189" s="95">
        <v>80.658680555555549</v>
      </c>
      <c r="P189" s="102">
        <v>1019.9969865026</v>
      </c>
      <c r="Q189" s="21">
        <v>1012.69796725033</v>
      </c>
      <c r="R189" s="60">
        <v>1016.2818490790762</v>
      </c>
      <c r="S189" s="61">
        <v>8.8000000070399995</v>
      </c>
      <c r="T189" s="51">
        <v>5.3800000043039997</v>
      </c>
      <c r="U189" s="25">
        <v>1.8779259274282638</v>
      </c>
      <c r="V189" s="192" t="s">
        <v>215</v>
      </c>
      <c r="W189" s="194"/>
      <c r="X189" s="16">
        <v>0</v>
      </c>
      <c r="Y189" s="17">
        <v>0</v>
      </c>
      <c r="Z189" s="18">
        <v>0</v>
      </c>
      <c r="AA189" s="42">
        <v>0</v>
      </c>
      <c r="AB189" s="284" t="s">
        <v>269</v>
      </c>
    </row>
    <row r="190" spans="1:28" s="20" customFormat="1" x14ac:dyDescent="0.3">
      <c r="A190" s="38">
        <v>44749</v>
      </c>
      <c r="B190" s="39">
        <v>15.4</v>
      </c>
      <c r="C190" s="14">
        <v>26.6</v>
      </c>
      <c r="D190" s="14">
        <v>16.100000000000001</v>
      </c>
      <c r="E190" s="14">
        <v>27.5</v>
      </c>
      <c r="F190" s="14">
        <v>9</v>
      </c>
      <c r="G190" s="65">
        <f t="shared" si="16"/>
        <v>18.5</v>
      </c>
      <c r="H190" s="65">
        <f t="shared" si="17"/>
        <v>18.55</v>
      </c>
      <c r="I190" s="67">
        <v>18.686041666666725</v>
      </c>
      <c r="J190" s="180">
        <v>15.4</v>
      </c>
      <c r="K190" s="14">
        <v>8.1</v>
      </c>
      <c r="L190" s="67">
        <v>11.858958333333298</v>
      </c>
      <c r="M190" s="170">
        <v>96.1</v>
      </c>
      <c r="N190" s="31">
        <v>36.700000000000003</v>
      </c>
      <c r="O190" s="95">
        <v>68.46534722222215</v>
      </c>
      <c r="P190" s="102">
        <v>1020.25726984604</v>
      </c>
      <c r="Q190" s="21">
        <v>1014.77521087684</v>
      </c>
      <c r="R190" s="60">
        <v>1017.5873713481592</v>
      </c>
      <c r="S190" s="61">
        <v>4.8000000038400001</v>
      </c>
      <c r="T190" s="51">
        <v>2.7366666688559995</v>
      </c>
      <c r="U190" s="25">
        <v>0.91996855419509449</v>
      </c>
      <c r="V190" s="192" t="s">
        <v>213</v>
      </c>
      <c r="W190" s="194"/>
      <c r="X190" s="16">
        <v>0</v>
      </c>
      <c r="Y190" s="17">
        <v>0</v>
      </c>
      <c r="Z190" s="18">
        <v>0</v>
      </c>
      <c r="AA190" s="42">
        <v>0</v>
      </c>
      <c r="AB190" s="284" t="s">
        <v>320</v>
      </c>
    </row>
    <row r="191" spans="1:28" s="20" customFormat="1" x14ac:dyDescent="0.3">
      <c r="A191" s="38">
        <v>44750</v>
      </c>
      <c r="B191" s="39">
        <v>18</v>
      </c>
      <c r="C191" s="14">
        <v>25.5</v>
      </c>
      <c r="D191" s="14">
        <v>15.7</v>
      </c>
      <c r="E191" s="14">
        <v>27.6</v>
      </c>
      <c r="F191" s="14">
        <v>14.4</v>
      </c>
      <c r="G191" s="65">
        <f t="shared" si="16"/>
        <v>13.200000000000001</v>
      </c>
      <c r="H191" s="65">
        <f t="shared" si="17"/>
        <v>18.725000000000001</v>
      </c>
      <c r="I191" s="67">
        <v>19.25902777777781</v>
      </c>
      <c r="J191" s="180">
        <v>17.8</v>
      </c>
      <c r="K191" s="14">
        <v>12.6</v>
      </c>
      <c r="L191" s="67">
        <v>14.355277777777857</v>
      </c>
      <c r="M191" s="170">
        <v>92.1</v>
      </c>
      <c r="N191" s="31">
        <v>44.3</v>
      </c>
      <c r="O191" s="95">
        <v>75.017013888888854</v>
      </c>
      <c r="P191" s="102">
        <v>1021.85197662963</v>
      </c>
      <c r="Q191" s="21">
        <v>1017.32435683686</v>
      </c>
      <c r="R191" s="60">
        <v>1019.3082148663352</v>
      </c>
      <c r="S191" s="61">
        <v>9.9000000079199992</v>
      </c>
      <c r="T191" s="51">
        <v>5.1300000041039988</v>
      </c>
      <c r="U191" s="25">
        <v>1.814937108370188</v>
      </c>
      <c r="V191" s="192" t="s">
        <v>215</v>
      </c>
      <c r="W191" s="194" t="s">
        <v>210</v>
      </c>
      <c r="X191" s="16">
        <v>6</v>
      </c>
      <c r="Y191" s="17">
        <v>0.3</v>
      </c>
      <c r="Z191" s="18">
        <v>0</v>
      </c>
      <c r="AA191" s="42">
        <v>0</v>
      </c>
      <c r="AB191" s="284" t="s">
        <v>268</v>
      </c>
    </row>
    <row r="192" spans="1:28" s="20" customFormat="1" x14ac:dyDescent="0.3">
      <c r="A192" s="38">
        <v>44751</v>
      </c>
      <c r="B192" s="39">
        <v>17.5</v>
      </c>
      <c r="C192" s="14">
        <v>26.4</v>
      </c>
      <c r="D192" s="14">
        <v>16.399999999999999</v>
      </c>
      <c r="E192" s="14">
        <v>26.8</v>
      </c>
      <c r="F192" s="14">
        <v>12.5</v>
      </c>
      <c r="G192" s="65">
        <f t="shared" si="16"/>
        <v>14.3</v>
      </c>
      <c r="H192" s="65">
        <f t="shared" si="17"/>
        <v>19.174999999999997</v>
      </c>
      <c r="I192" s="67">
        <v>18.886527777777779</v>
      </c>
      <c r="J192" s="180">
        <v>16.3</v>
      </c>
      <c r="K192" s="14">
        <v>10.5</v>
      </c>
      <c r="L192" s="67">
        <v>12.835972222222237</v>
      </c>
      <c r="M192" s="170">
        <v>93.1</v>
      </c>
      <c r="N192" s="31">
        <v>46.7</v>
      </c>
      <c r="O192" s="95">
        <v>69.837638888888833</v>
      </c>
      <c r="P192" s="102">
        <v>1021.8224884410801</v>
      </c>
      <c r="Q192" s="21">
        <v>1015.76737243652</v>
      </c>
      <c r="R192" s="60">
        <v>1018.8194366852007</v>
      </c>
      <c r="S192" s="61">
        <v>8.5000000068000006</v>
      </c>
      <c r="T192" s="51">
        <v>4.3833333368399998</v>
      </c>
      <c r="U192" s="25">
        <v>1.9561090474137068</v>
      </c>
      <c r="V192" s="192" t="s">
        <v>215</v>
      </c>
      <c r="W192" s="194"/>
      <c r="X192" s="16">
        <v>0</v>
      </c>
      <c r="Y192" s="17">
        <v>0</v>
      </c>
      <c r="Z192" s="18">
        <v>0</v>
      </c>
      <c r="AA192" s="42">
        <v>0</v>
      </c>
      <c r="AB192" s="284" t="s">
        <v>271</v>
      </c>
    </row>
    <row r="193" spans="1:28" s="20" customFormat="1" x14ac:dyDescent="0.3">
      <c r="A193" s="38">
        <v>44752</v>
      </c>
      <c r="B193" s="39">
        <v>18.7</v>
      </c>
      <c r="C193" s="14">
        <v>16.399999999999999</v>
      </c>
      <c r="D193" s="14">
        <v>14</v>
      </c>
      <c r="E193" s="14">
        <v>22.7</v>
      </c>
      <c r="F193" s="14">
        <v>8.5</v>
      </c>
      <c r="G193" s="65">
        <f t="shared" si="16"/>
        <v>14.2</v>
      </c>
      <c r="H193" s="65">
        <f t="shared" si="17"/>
        <v>15.774999999999999</v>
      </c>
      <c r="I193" s="67">
        <v>16.043402777777761</v>
      </c>
      <c r="J193" s="180">
        <v>17.2</v>
      </c>
      <c r="K193" s="14">
        <v>7</v>
      </c>
      <c r="L193" s="67">
        <v>11.801805555555557</v>
      </c>
      <c r="M193" s="170">
        <v>94.9</v>
      </c>
      <c r="N193" s="31">
        <v>56.6</v>
      </c>
      <c r="O193" s="95">
        <v>76.56583333333333</v>
      </c>
      <c r="P193" s="102">
        <v>1017.02375228528</v>
      </c>
      <c r="Q193" s="21">
        <v>1013.07950264888</v>
      </c>
      <c r="R193" s="60">
        <v>1014.8766213832499</v>
      </c>
      <c r="S193" s="61">
        <v>9.5000000076000006</v>
      </c>
      <c r="T193" s="51">
        <v>4.673333337072</v>
      </c>
      <c r="U193" s="25">
        <v>1.4783395303028661</v>
      </c>
      <c r="V193" s="192" t="s">
        <v>215</v>
      </c>
      <c r="W193" s="194" t="s">
        <v>210</v>
      </c>
      <c r="X193" s="16">
        <v>48</v>
      </c>
      <c r="Y193" s="17">
        <v>7.5</v>
      </c>
      <c r="Z193" s="18">
        <v>0</v>
      </c>
      <c r="AA193" s="42">
        <v>0</v>
      </c>
      <c r="AB193" s="284" t="s">
        <v>364</v>
      </c>
    </row>
    <row r="194" spans="1:28" s="20" customFormat="1" x14ac:dyDescent="0.3">
      <c r="A194" s="38">
        <v>44753</v>
      </c>
      <c r="B194" s="39">
        <v>16.5</v>
      </c>
      <c r="C194" s="14">
        <v>18.8</v>
      </c>
      <c r="D194" s="14">
        <v>12.2</v>
      </c>
      <c r="E194" s="14">
        <v>22.3</v>
      </c>
      <c r="F194" s="14">
        <v>7.9</v>
      </c>
      <c r="G194" s="65">
        <f t="shared" si="16"/>
        <v>14.4</v>
      </c>
      <c r="H194" s="65">
        <f t="shared" si="17"/>
        <v>14.924999999999999</v>
      </c>
      <c r="I194" s="67">
        <v>14.576249999999991</v>
      </c>
      <c r="J194" s="180">
        <v>14.5</v>
      </c>
      <c r="K194" s="14">
        <v>6.6</v>
      </c>
      <c r="L194" s="67">
        <v>10.392986111111087</v>
      </c>
      <c r="M194" s="170">
        <v>94.8</v>
      </c>
      <c r="N194" s="31">
        <v>50.9</v>
      </c>
      <c r="O194" s="95">
        <v>77.305833333333311</v>
      </c>
      <c r="P194" s="102">
        <v>1019.30081591442</v>
      </c>
      <c r="Q194" s="21">
        <v>1015.91193746338</v>
      </c>
      <c r="R194" s="60">
        <v>1017.223331577869</v>
      </c>
      <c r="S194" s="61">
        <v>8.5000000068000006</v>
      </c>
      <c r="T194" s="51">
        <v>4.1283333366359996</v>
      </c>
      <c r="U194" s="25">
        <v>1.4032585094499095</v>
      </c>
      <c r="V194" s="192" t="s">
        <v>215</v>
      </c>
      <c r="W194" s="194" t="s">
        <v>210</v>
      </c>
      <c r="X194" s="16">
        <v>6</v>
      </c>
      <c r="Y194" s="17">
        <v>0.8</v>
      </c>
      <c r="Z194" s="18">
        <v>0</v>
      </c>
      <c r="AA194" s="42">
        <v>0</v>
      </c>
      <c r="AB194" s="284" t="s">
        <v>340</v>
      </c>
    </row>
    <row r="195" spans="1:28" s="20" customFormat="1" x14ac:dyDescent="0.3">
      <c r="A195" s="38">
        <v>44754</v>
      </c>
      <c r="B195" s="39">
        <v>12.6</v>
      </c>
      <c r="C195" s="14">
        <v>19.3</v>
      </c>
      <c r="D195" s="14">
        <v>13.2</v>
      </c>
      <c r="E195" s="14">
        <v>25</v>
      </c>
      <c r="F195" s="14">
        <v>8.5</v>
      </c>
      <c r="G195" s="65">
        <f t="shared" si="16"/>
        <v>16.5</v>
      </c>
      <c r="H195" s="65">
        <f t="shared" si="17"/>
        <v>14.574999999999999</v>
      </c>
      <c r="I195" s="67">
        <v>15.26423611111105</v>
      </c>
      <c r="J195" s="180">
        <v>15.4</v>
      </c>
      <c r="K195" s="14">
        <v>7.4</v>
      </c>
      <c r="L195" s="67">
        <v>11.874999999999972</v>
      </c>
      <c r="M195" s="170">
        <v>95.6</v>
      </c>
      <c r="N195" s="31">
        <v>48.2</v>
      </c>
      <c r="O195" s="95">
        <v>81.854513888888889</v>
      </c>
      <c r="P195" s="102">
        <v>1019.29241009132</v>
      </c>
      <c r="Q195" s="21">
        <v>1016.62188225251</v>
      </c>
      <c r="R195" s="60">
        <v>1018.0067348058409</v>
      </c>
      <c r="S195" s="61">
        <v>8.5000000068000006</v>
      </c>
      <c r="T195" s="51">
        <v>4.4333333368800005</v>
      </c>
      <c r="U195" s="25">
        <v>1.2120343502681268</v>
      </c>
      <c r="V195" s="192" t="s">
        <v>215</v>
      </c>
      <c r="W195" s="194" t="s">
        <v>210</v>
      </c>
      <c r="X195" s="16">
        <v>18</v>
      </c>
      <c r="Y195" s="17">
        <v>1.5</v>
      </c>
      <c r="Z195" s="18">
        <v>0</v>
      </c>
      <c r="AA195" s="42">
        <v>0</v>
      </c>
      <c r="AB195" s="284" t="s">
        <v>340</v>
      </c>
    </row>
    <row r="196" spans="1:28" s="20" customFormat="1" x14ac:dyDescent="0.3">
      <c r="A196" s="38">
        <v>44755</v>
      </c>
      <c r="B196" s="39">
        <v>18.5</v>
      </c>
      <c r="C196" s="14">
        <v>29.9</v>
      </c>
      <c r="D196" s="14">
        <v>19.8</v>
      </c>
      <c r="E196" s="14">
        <v>30.2</v>
      </c>
      <c r="F196" s="14">
        <v>12.4</v>
      </c>
      <c r="G196" s="65">
        <f t="shared" si="16"/>
        <v>17.799999999999997</v>
      </c>
      <c r="H196" s="65">
        <f t="shared" si="17"/>
        <v>22</v>
      </c>
      <c r="I196" s="67">
        <v>21.296319444444453</v>
      </c>
      <c r="J196" s="180">
        <v>16.600000000000001</v>
      </c>
      <c r="K196" s="14">
        <v>11.6</v>
      </c>
      <c r="L196" s="67">
        <v>13.77187499999998</v>
      </c>
      <c r="M196" s="170">
        <v>96.5</v>
      </c>
      <c r="N196" s="31">
        <v>38.1</v>
      </c>
      <c r="O196" s="95">
        <v>65.928958333333284</v>
      </c>
      <c r="P196" s="102">
        <v>1017.12732810399</v>
      </c>
      <c r="Q196" s="21">
        <v>1014.6798991723</v>
      </c>
      <c r="R196" s="60">
        <v>1015.8177708285789</v>
      </c>
      <c r="S196" s="61">
        <v>9.5000000076000006</v>
      </c>
      <c r="T196" s="51">
        <v>6.1600000049279995</v>
      </c>
      <c r="U196" s="25">
        <v>2.1034922945536962</v>
      </c>
      <c r="V196" s="192" t="s">
        <v>215</v>
      </c>
      <c r="W196" s="195"/>
      <c r="X196" s="26">
        <v>0</v>
      </c>
      <c r="Y196" s="27">
        <v>0</v>
      </c>
      <c r="Z196" s="28">
        <v>0</v>
      </c>
      <c r="AA196" s="29">
        <v>0</v>
      </c>
      <c r="AB196" s="285" t="s">
        <v>266</v>
      </c>
    </row>
    <row r="197" spans="1:28" s="20" customFormat="1" x14ac:dyDescent="0.3">
      <c r="A197" s="38">
        <v>44756</v>
      </c>
      <c r="B197" s="39">
        <v>19.7</v>
      </c>
      <c r="C197" s="14">
        <v>33.200000000000003</v>
      </c>
      <c r="D197" s="14">
        <v>18.899999999999999</v>
      </c>
      <c r="E197" s="14">
        <v>33.9</v>
      </c>
      <c r="F197" s="14">
        <v>14.3</v>
      </c>
      <c r="G197" s="65">
        <f t="shared" si="16"/>
        <v>19.599999999999998</v>
      </c>
      <c r="H197" s="65">
        <f t="shared" si="17"/>
        <v>22.675000000000001</v>
      </c>
      <c r="I197" s="67">
        <v>22.225000000000001</v>
      </c>
      <c r="J197" s="180">
        <v>18.8</v>
      </c>
      <c r="K197" s="14">
        <v>12.8</v>
      </c>
      <c r="L197" s="67">
        <v>15.758333333333374</v>
      </c>
      <c r="M197" s="170">
        <v>92.3</v>
      </c>
      <c r="N197" s="31">
        <v>35.5</v>
      </c>
      <c r="O197" s="95">
        <v>70.066597222222384</v>
      </c>
      <c r="P197" s="102">
        <v>1017.20003861625</v>
      </c>
      <c r="Q197" s="21">
        <v>1011.39182568783</v>
      </c>
      <c r="R197" s="60">
        <v>1014.2986464907219</v>
      </c>
      <c r="S197" s="61">
        <v>8.5000000068000006</v>
      </c>
      <c r="T197" s="51">
        <v>3.780000003024</v>
      </c>
      <c r="U197" s="25">
        <v>1.2233863208245626</v>
      </c>
      <c r="V197" s="192" t="s">
        <v>248</v>
      </c>
      <c r="W197" s="195" t="s">
        <v>210</v>
      </c>
      <c r="X197" s="26">
        <v>6</v>
      </c>
      <c r="Y197" s="27">
        <v>1.5</v>
      </c>
      <c r="Z197" s="28">
        <v>0</v>
      </c>
      <c r="AA197" s="29">
        <v>0</v>
      </c>
      <c r="AB197" s="285" t="s">
        <v>283</v>
      </c>
    </row>
    <row r="198" spans="1:28" s="20" customFormat="1" x14ac:dyDescent="0.3">
      <c r="A198" s="38">
        <v>44757</v>
      </c>
      <c r="B198" s="39">
        <v>17.5</v>
      </c>
      <c r="C198" s="14">
        <v>27.6</v>
      </c>
      <c r="D198" s="14">
        <v>18.7</v>
      </c>
      <c r="E198" s="14">
        <v>28.8</v>
      </c>
      <c r="F198" s="14">
        <v>13</v>
      </c>
      <c r="G198" s="65">
        <f t="shared" si="16"/>
        <v>15.8</v>
      </c>
      <c r="H198" s="65">
        <f t="shared" si="17"/>
        <v>20.625</v>
      </c>
      <c r="I198" s="67">
        <v>20.802777777777763</v>
      </c>
      <c r="J198" s="180">
        <v>19.100000000000001</v>
      </c>
      <c r="K198" s="14">
        <v>8.8000000000000007</v>
      </c>
      <c r="L198" s="67">
        <v>13.719583333333329</v>
      </c>
      <c r="M198" s="170">
        <v>95</v>
      </c>
      <c r="N198" s="31">
        <v>38.200000000000003</v>
      </c>
      <c r="O198" s="95">
        <v>66.894166666666663</v>
      </c>
      <c r="P198" s="102">
        <v>1019.56682399667</v>
      </c>
      <c r="Q198" s="21">
        <v>1011.4075852191</v>
      </c>
      <c r="R198" s="60">
        <v>1015.177275158992</v>
      </c>
      <c r="S198" s="61">
        <v>8.8000000070399995</v>
      </c>
      <c r="T198" s="51">
        <v>5.1550000041240001</v>
      </c>
      <c r="U198" s="25">
        <v>1.7437863386043282</v>
      </c>
      <c r="V198" s="192" t="s">
        <v>215</v>
      </c>
      <c r="W198" s="195"/>
      <c r="X198" s="26">
        <v>0</v>
      </c>
      <c r="Y198" s="27">
        <v>0</v>
      </c>
      <c r="Z198" s="28">
        <v>0</v>
      </c>
      <c r="AA198" s="29">
        <v>0</v>
      </c>
      <c r="AB198" s="285" t="s">
        <v>271</v>
      </c>
    </row>
    <row r="199" spans="1:28" s="20" customFormat="1" x14ac:dyDescent="0.3">
      <c r="A199" s="38">
        <v>44758</v>
      </c>
      <c r="B199" s="39">
        <v>16.8</v>
      </c>
      <c r="C199" s="14">
        <v>24.3</v>
      </c>
      <c r="D199" s="14">
        <v>16.2</v>
      </c>
      <c r="E199" s="14">
        <v>27.2</v>
      </c>
      <c r="F199" s="14">
        <v>9.1999999999999993</v>
      </c>
      <c r="G199" s="65">
        <f t="shared" si="16"/>
        <v>18</v>
      </c>
      <c r="H199" s="65">
        <f t="shared" si="17"/>
        <v>18.375</v>
      </c>
      <c r="I199" s="67">
        <v>18.848622486969479</v>
      </c>
      <c r="J199" s="180">
        <v>13</v>
      </c>
      <c r="K199" s="14">
        <v>7.4</v>
      </c>
      <c r="L199" s="67">
        <v>10.626582278480996</v>
      </c>
      <c r="M199" s="170">
        <v>91.6</v>
      </c>
      <c r="N199" s="31">
        <v>36.5</v>
      </c>
      <c r="O199" s="95">
        <v>62.125018615040936</v>
      </c>
      <c r="P199" s="102">
        <v>1022.1212778983</v>
      </c>
      <c r="Q199" s="21">
        <v>1015.93405110755</v>
      </c>
      <c r="R199" s="60">
        <v>1018.1625070543362</v>
      </c>
      <c r="S199" s="61">
        <v>9.9000000079199992</v>
      </c>
      <c r="T199" s="51">
        <v>5.2566666708719998</v>
      </c>
      <c r="U199" s="25">
        <v>1.2992484858878814</v>
      </c>
      <c r="V199" s="192" t="s">
        <v>215</v>
      </c>
      <c r="W199" s="195" t="s">
        <v>210</v>
      </c>
      <c r="X199" s="26">
        <v>18</v>
      </c>
      <c r="Y199" s="27">
        <v>1.9</v>
      </c>
      <c r="Z199" s="28">
        <v>0</v>
      </c>
      <c r="AA199" s="29">
        <v>0</v>
      </c>
      <c r="AB199" s="285" t="s">
        <v>370</v>
      </c>
    </row>
    <row r="200" spans="1:28" s="20" customFormat="1" x14ac:dyDescent="0.3">
      <c r="A200" s="38">
        <v>44759</v>
      </c>
      <c r="B200" s="39">
        <v>8.1999999999999993</v>
      </c>
      <c r="C200" s="14">
        <v>25.9</v>
      </c>
      <c r="D200" s="14">
        <v>17.3</v>
      </c>
      <c r="E200" s="14">
        <v>27.2</v>
      </c>
      <c r="F200" s="14">
        <v>9.6</v>
      </c>
      <c r="G200" s="65">
        <f t="shared" si="16"/>
        <v>17.600000000000001</v>
      </c>
      <c r="H200" s="65">
        <f t="shared" si="17"/>
        <v>17.174999999999997</v>
      </c>
      <c r="I200" s="67">
        <v>20.624209078404419</v>
      </c>
      <c r="J200" s="180">
        <v>14.2</v>
      </c>
      <c r="K200" s="14">
        <v>7.4</v>
      </c>
      <c r="L200" s="67">
        <v>10.34828060522697</v>
      </c>
      <c r="M200" s="170">
        <v>85.9</v>
      </c>
      <c r="N200" s="31">
        <v>37.200000000000003</v>
      </c>
      <c r="O200" s="95">
        <v>53.730261348005477</v>
      </c>
      <c r="P200" s="102">
        <v>1026.6876868404499</v>
      </c>
      <c r="Q200" s="21">
        <v>1021.81427310919</v>
      </c>
      <c r="R200" s="60">
        <v>1023.7681764089624</v>
      </c>
      <c r="S200" s="61">
        <v>9.5000000076000006</v>
      </c>
      <c r="T200" s="51">
        <v>5.4666666710400005</v>
      </c>
      <c r="U200" s="25">
        <v>1.9842612693627746</v>
      </c>
      <c r="V200" s="192" t="s">
        <v>250</v>
      </c>
      <c r="W200" s="195"/>
      <c r="X200" s="26">
        <v>0</v>
      </c>
      <c r="Y200" s="27">
        <v>0</v>
      </c>
      <c r="Z200" s="28">
        <v>0</v>
      </c>
      <c r="AA200" s="29">
        <v>0</v>
      </c>
      <c r="AB200" s="285" t="s">
        <v>269</v>
      </c>
    </row>
    <row r="201" spans="1:28" s="20" customFormat="1" x14ac:dyDescent="0.3">
      <c r="A201" s="38">
        <v>44760</v>
      </c>
      <c r="B201" s="39">
        <v>12.7</v>
      </c>
      <c r="C201" s="14">
        <v>29.2</v>
      </c>
      <c r="D201" s="14">
        <v>20.2</v>
      </c>
      <c r="E201" s="14">
        <v>29.6</v>
      </c>
      <c r="F201" s="14">
        <v>5.8</v>
      </c>
      <c r="G201" s="65">
        <f t="shared" si="16"/>
        <v>23.8</v>
      </c>
      <c r="H201" s="65">
        <f t="shared" si="17"/>
        <v>20.574999999999999</v>
      </c>
      <c r="I201" s="67">
        <v>18.060833333333338</v>
      </c>
      <c r="J201" s="180">
        <v>13.9</v>
      </c>
      <c r="K201" s="14">
        <v>4.8</v>
      </c>
      <c r="L201" s="67">
        <v>9.9954861111111217</v>
      </c>
      <c r="M201" s="170">
        <v>95.3</v>
      </c>
      <c r="N201" s="31">
        <v>32.200000000000003</v>
      </c>
      <c r="O201" s="95">
        <v>64.15250000000006</v>
      </c>
      <c r="P201" s="102">
        <v>1027.32846893693</v>
      </c>
      <c r="Q201" s="21">
        <v>1021.68598568491</v>
      </c>
      <c r="R201" s="60">
        <v>1024.4480847385423</v>
      </c>
      <c r="S201" s="61">
        <v>6.8000000054400003</v>
      </c>
      <c r="T201" s="51">
        <v>3.3866666693760004</v>
      </c>
      <c r="U201" s="25">
        <v>1.1494916494308527</v>
      </c>
      <c r="V201" s="192" t="s">
        <v>214</v>
      </c>
      <c r="W201" s="195"/>
      <c r="X201" s="26">
        <v>0</v>
      </c>
      <c r="Y201" s="27">
        <v>0</v>
      </c>
      <c r="Z201" s="28">
        <v>0</v>
      </c>
      <c r="AA201" s="29">
        <v>0</v>
      </c>
      <c r="AB201" s="285" t="s">
        <v>269</v>
      </c>
    </row>
    <row r="202" spans="1:28" s="20" customFormat="1" x14ac:dyDescent="0.3">
      <c r="A202" s="38">
        <v>44761</v>
      </c>
      <c r="B202" s="39">
        <v>12.8</v>
      </c>
      <c r="C202" s="14">
        <v>29.9</v>
      </c>
      <c r="D202" s="14">
        <v>21.6</v>
      </c>
      <c r="E202" s="14">
        <v>32.200000000000003</v>
      </c>
      <c r="F202" s="14">
        <v>9.4</v>
      </c>
      <c r="G202" s="65">
        <f t="shared" si="16"/>
        <v>22.800000000000004</v>
      </c>
      <c r="H202" s="65">
        <f t="shared" si="17"/>
        <v>21.475000000000001</v>
      </c>
      <c r="I202" s="67">
        <v>20.800763888888905</v>
      </c>
      <c r="J202" s="180">
        <v>16.600000000000001</v>
      </c>
      <c r="K202" s="14">
        <v>8.4</v>
      </c>
      <c r="L202" s="67">
        <v>12.688472222222256</v>
      </c>
      <c r="M202" s="170">
        <v>95.1</v>
      </c>
      <c r="N202" s="31">
        <v>31.9</v>
      </c>
      <c r="O202" s="95">
        <v>64.540902777777717</v>
      </c>
      <c r="P202" s="102">
        <v>1024.40343879184</v>
      </c>
      <c r="Q202" s="21">
        <v>1018.97246119539</v>
      </c>
      <c r="R202" s="60">
        <v>1021.7955290669111</v>
      </c>
      <c r="S202" s="61">
        <v>5.10000000408</v>
      </c>
      <c r="T202" s="51">
        <v>2.8733333356319997</v>
      </c>
      <c r="U202" s="25">
        <v>0.94782872467869017</v>
      </c>
      <c r="V202" s="192" t="s">
        <v>213</v>
      </c>
      <c r="W202" s="195"/>
      <c r="X202" s="26">
        <v>0</v>
      </c>
      <c r="Y202" s="27">
        <v>0</v>
      </c>
      <c r="Z202" s="28">
        <v>0</v>
      </c>
      <c r="AA202" s="29">
        <v>0</v>
      </c>
      <c r="AB202" s="285" t="s">
        <v>266</v>
      </c>
    </row>
    <row r="203" spans="1:28" s="20" customFormat="1" x14ac:dyDescent="0.3">
      <c r="A203" s="38">
        <v>44762</v>
      </c>
      <c r="B203" s="39">
        <v>16.899999999999999</v>
      </c>
      <c r="C203" s="14">
        <v>35.9</v>
      </c>
      <c r="D203" s="14">
        <v>23.1</v>
      </c>
      <c r="E203" s="14">
        <v>36.1</v>
      </c>
      <c r="F203" s="14">
        <v>11.8</v>
      </c>
      <c r="G203" s="65">
        <f t="shared" si="16"/>
        <v>24.3</v>
      </c>
      <c r="H203" s="65">
        <f t="shared" si="17"/>
        <v>24.75</v>
      </c>
      <c r="I203" s="67">
        <v>23.879245511887436</v>
      </c>
      <c r="J203" s="180">
        <v>19.100000000000001</v>
      </c>
      <c r="K203" s="14">
        <v>9.9</v>
      </c>
      <c r="L203" s="67">
        <v>14.589652777777786</v>
      </c>
      <c r="M203" s="170">
        <v>95.4</v>
      </c>
      <c r="N203" s="31">
        <v>29.5</v>
      </c>
      <c r="O203" s="95">
        <v>63.207430555555462</v>
      </c>
      <c r="P203" s="102">
        <v>1022.7849585886501</v>
      </c>
      <c r="Q203" s="21">
        <v>1017.22884967513</v>
      </c>
      <c r="R203" s="60">
        <v>1019.9056399274754</v>
      </c>
      <c r="S203" s="61">
        <v>7.1000000056800001</v>
      </c>
      <c r="T203" s="51">
        <v>3.9000000031200002</v>
      </c>
      <c r="U203" s="25">
        <v>1.2625667161968648</v>
      </c>
      <c r="V203" s="192" t="s">
        <v>214</v>
      </c>
      <c r="W203" s="195"/>
      <c r="X203" s="26">
        <v>0</v>
      </c>
      <c r="Y203" s="27">
        <v>0</v>
      </c>
      <c r="Z203" s="28">
        <v>0</v>
      </c>
      <c r="AA203" s="29">
        <v>0</v>
      </c>
      <c r="AB203" s="285" t="s">
        <v>222</v>
      </c>
    </row>
    <row r="204" spans="1:28" s="20" customFormat="1" x14ac:dyDescent="0.3">
      <c r="A204" s="38">
        <v>44763</v>
      </c>
      <c r="B204" s="39">
        <v>13.3</v>
      </c>
      <c r="C204" s="14">
        <v>34.6</v>
      </c>
      <c r="D204" s="14">
        <v>24.8</v>
      </c>
      <c r="E204" s="14">
        <v>34.700000000000003</v>
      </c>
      <c r="F204" s="14">
        <v>13</v>
      </c>
      <c r="G204" s="65">
        <f t="shared" si="16"/>
        <v>21.700000000000003</v>
      </c>
      <c r="H204" s="65">
        <f t="shared" si="17"/>
        <v>24.375</v>
      </c>
      <c r="I204" s="67">
        <v>24.075966183574877</v>
      </c>
      <c r="J204" s="180">
        <v>19.2</v>
      </c>
      <c r="K204" s="14">
        <v>11.1</v>
      </c>
      <c r="L204" s="67">
        <v>14.04472222222223</v>
      </c>
      <c r="M204" s="170">
        <v>95.3</v>
      </c>
      <c r="N204" s="31">
        <v>28.6</v>
      </c>
      <c r="O204" s="95">
        <v>60.325347222222263</v>
      </c>
      <c r="P204" s="102">
        <v>1019.78782212116</v>
      </c>
      <c r="Q204" s="21">
        <v>1016.2574243540701</v>
      </c>
      <c r="R204" s="60">
        <v>1018.0068918228944</v>
      </c>
      <c r="S204" s="61">
        <v>8.5000000068000006</v>
      </c>
      <c r="T204" s="51">
        <v>5.6033333378160011</v>
      </c>
      <c r="U204" s="25">
        <v>1.65584541195269</v>
      </c>
      <c r="V204" s="192" t="s">
        <v>213</v>
      </c>
      <c r="W204" s="195"/>
      <c r="X204" s="26">
        <v>0</v>
      </c>
      <c r="Y204" s="27">
        <v>0</v>
      </c>
      <c r="Z204" s="28">
        <v>0</v>
      </c>
      <c r="AA204" s="29">
        <v>0</v>
      </c>
      <c r="AB204" s="285" t="s">
        <v>280</v>
      </c>
    </row>
    <row r="205" spans="1:28" s="20" customFormat="1" x14ac:dyDescent="0.3">
      <c r="A205" s="38">
        <v>44764</v>
      </c>
      <c r="B205" s="39">
        <v>18.100000000000001</v>
      </c>
      <c r="C205" s="14">
        <v>36.700000000000003</v>
      </c>
      <c r="D205" s="14">
        <v>19.899999999999999</v>
      </c>
      <c r="E205" s="14">
        <v>37.700000000000003</v>
      </c>
      <c r="F205" s="14">
        <v>12</v>
      </c>
      <c r="G205" s="65">
        <f t="shared" si="16"/>
        <v>25.700000000000003</v>
      </c>
      <c r="H205" s="65">
        <f t="shared" si="17"/>
        <v>23.65</v>
      </c>
      <c r="I205" s="67">
        <v>22.811892675852089</v>
      </c>
      <c r="J205" s="180">
        <v>19.8</v>
      </c>
      <c r="K205" s="14">
        <v>10.1</v>
      </c>
      <c r="L205" s="67">
        <v>15.24375</v>
      </c>
      <c r="M205" s="170">
        <v>94.3</v>
      </c>
      <c r="N205" s="31">
        <v>31.2</v>
      </c>
      <c r="O205" s="95">
        <v>68.619930555555584</v>
      </c>
      <c r="P205" s="102">
        <v>1018.72777946469</v>
      </c>
      <c r="Q205" s="21">
        <v>1013.80381133767</v>
      </c>
      <c r="R205" s="60">
        <v>1016.658995106277</v>
      </c>
      <c r="S205" s="61">
        <v>6.10000000488</v>
      </c>
      <c r="T205" s="51">
        <v>3.2600000026079998</v>
      </c>
      <c r="U205" s="25">
        <v>0.96311336794477254</v>
      </c>
      <c r="V205" s="192" t="s">
        <v>213</v>
      </c>
      <c r="W205" s="195" t="s">
        <v>210</v>
      </c>
      <c r="X205" s="26">
        <v>6</v>
      </c>
      <c r="Y205" s="27">
        <v>0.4</v>
      </c>
      <c r="Z205" s="28">
        <v>0</v>
      </c>
      <c r="AA205" s="29">
        <v>0</v>
      </c>
      <c r="AB205" s="285" t="s">
        <v>374</v>
      </c>
    </row>
    <row r="206" spans="1:28" s="20" customFormat="1" x14ac:dyDescent="0.3">
      <c r="A206" s="38">
        <v>44765</v>
      </c>
      <c r="B206" s="39">
        <v>18.5</v>
      </c>
      <c r="C206" s="14">
        <v>37.5</v>
      </c>
      <c r="D206" s="14">
        <v>20.3</v>
      </c>
      <c r="E206" s="14">
        <v>37.700000000000003</v>
      </c>
      <c r="F206" s="14">
        <v>14.1</v>
      </c>
      <c r="G206" s="65">
        <f t="shared" si="16"/>
        <v>23.6</v>
      </c>
      <c r="H206" s="65">
        <f t="shared" si="17"/>
        <v>24.15</v>
      </c>
      <c r="I206" s="67">
        <v>24.633853033599127</v>
      </c>
      <c r="J206" s="180">
        <v>21.5</v>
      </c>
      <c r="K206" s="14">
        <v>12.5</v>
      </c>
      <c r="L206" s="67">
        <v>17.396875000000019</v>
      </c>
      <c r="M206" s="170">
        <v>96.2</v>
      </c>
      <c r="N206" s="31">
        <v>32.799999999999997</v>
      </c>
      <c r="O206" s="95">
        <v>71.161111111111111</v>
      </c>
      <c r="P206" s="102">
        <v>1017.83621063161</v>
      </c>
      <c r="Q206" s="21">
        <v>1010.20535448805</v>
      </c>
      <c r="R206" s="60">
        <v>1014.730177247641</v>
      </c>
      <c r="S206" s="61">
        <v>10.900000008719999</v>
      </c>
      <c r="T206" s="51">
        <v>5.4300000043440004</v>
      </c>
      <c r="U206" s="25">
        <v>1.1314599960707465</v>
      </c>
      <c r="V206" s="192" t="s">
        <v>213</v>
      </c>
      <c r="W206" s="195" t="s">
        <v>210</v>
      </c>
      <c r="X206" s="26">
        <v>54</v>
      </c>
      <c r="Y206" s="27">
        <v>13.7</v>
      </c>
      <c r="Z206" s="28">
        <v>0</v>
      </c>
      <c r="AA206" s="29">
        <v>0</v>
      </c>
      <c r="AB206" s="285" t="s">
        <v>305</v>
      </c>
    </row>
    <row r="207" spans="1:28" s="20" customFormat="1" x14ac:dyDescent="0.3">
      <c r="A207" s="38">
        <v>44766</v>
      </c>
      <c r="B207" s="39">
        <v>15.6</v>
      </c>
      <c r="C207" s="14">
        <v>28.5</v>
      </c>
      <c r="D207" s="14">
        <v>17.3</v>
      </c>
      <c r="E207" s="14">
        <v>29.2</v>
      </c>
      <c r="F207" s="14">
        <v>12.9</v>
      </c>
      <c r="G207" s="65">
        <f t="shared" si="16"/>
        <v>16.299999999999997</v>
      </c>
      <c r="H207" s="65">
        <f t="shared" si="17"/>
        <v>19.675000000000001</v>
      </c>
      <c r="I207" s="67">
        <v>21.302091767881212</v>
      </c>
      <c r="J207" s="180">
        <v>21</v>
      </c>
      <c r="K207" s="14">
        <v>11.5</v>
      </c>
      <c r="L207" s="67">
        <v>16.164372469635669</v>
      </c>
      <c r="M207" s="170">
        <v>97.8</v>
      </c>
      <c r="N207" s="31">
        <v>43.2</v>
      </c>
      <c r="O207" s="95">
        <v>75.473414304993113</v>
      </c>
      <c r="P207" s="102">
        <v>1019.16716720102</v>
      </c>
      <c r="Q207" s="21">
        <v>1014.82241869897</v>
      </c>
      <c r="R207" s="60">
        <v>1017.049220200445</v>
      </c>
      <c r="S207" s="61">
        <v>8.8000000070399995</v>
      </c>
      <c r="T207" s="51">
        <v>5.10000000408</v>
      </c>
      <c r="U207" s="25">
        <v>1.8034827683745767</v>
      </c>
      <c r="V207" s="192" t="s">
        <v>215</v>
      </c>
      <c r="W207" s="195"/>
      <c r="X207" s="26">
        <v>0</v>
      </c>
      <c r="Y207" s="27">
        <v>0</v>
      </c>
      <c r="Z207" s="28">
        <v>0</v>
      </c>
      <c r="AA207" s="29">
        <v>0</v>
      </c>
      <c r="AB207" s="285" t="s">
        <v>320</v>
      </c>
    </row>
    <row r="208" spans="1:28" s="20" customFormat="1" x14ac:dyDescent="0.3">
      <c r="A208" s="38">
        <v>44767</v>
      </c>
      <c r="B208" s="39">
        <v>16.8</v>
      </c>
      <c r="C208" s="14">
        <v>30.3</v>
      </c>
      <c r="D208" s="14">
        <v>18.3</v>
      </c>
      <c r="E208" s="14">
        <v>31.6</v>
      </c>
      <c r="F208" s="14">
        <v>10.199999999999999</v>
      </c>
      <c r="G208" s="65">
        <f t="shared" si="16"/>
        <v>21.400000000000002</v>
      </c>
      <c r="H208" s="65">
        <f t="shared" si="17"/>
        <v>20.925000000000001</v>
      </c>
      <c r="I208" s="67">
        <v>20.957916666666662</v>
      </c>
      <c r="J208" s="180">
        <v>17.600000000000001</v>
      </c>
      <c r="K208" s="14">
        <v>9.1999999999999993</v>
      </c>
      <c r="L208" s="67">
        <v>13.581388888888851</v>
      </c>
      <c r="M208" s="170">
        <v>95.6</v>
      </c>
      <c r="N208" s="31">
        <v>36.4</v>
      </c>
      <c r="O208" s="95">
        <v>67.289652777777974</v>
      </c>
      <c r="P208" s="102">
        <v>1019.3883754987201</v>
      </c>
      <c r="Q208" s="21">
        <v>1011.29275080465</v>
      </c>
      <c r="R208" s="60">
        <v>1015.1667436046638</v>
      </c>
      <c r="S208" s="61">
        <v>5.4000000043199998</v>
      </c>
      <c r="T208" s="51">
        <v>3.2100000025680004</v>
      </c>
      <c r="U208" s="25">
        <v>1.0315967205551353</v>
      </c>
      <c r="V208" s="192" t="s">
        <v>213</v>
      </c>
      <c r="W208" s="195"/>
      <c r="X208" s="26">
        <v>0</v>
      </c>
      <c r="Y208" s="27">
        <v>0</v>
      </c>
      <c r="Z208" s="28">
        <v>0</v>
      </c>
      <c r="AA208" s="29">
        <v>0</v>
      </c>
      <c r="AB208" s="285" t="s">
        <v>376</v>
      </c>
    </row>
    <row r="209" spans="1:28" s="20" customFormat="1" x14ac:dyDescent="0.3">
      <c r="A209" s="38">
        <v>44768</v>
      </c>
      <c r="B209" s="39">
        <v>15.8</v>
      </c>
      <c r="C209" s="14">
        <v>30.5</v>
      </c>
      <c r="D209" s="14">
        <v>17</v>
      </c>
      <c r="E209" s="14">
        <v>31.4</v>
      </c>
      <c r="F209" s="14">
        <v>11.3</v>
      </c>
      <c r="G209" s="65">
        <f t="shared" ref="G209:G215" si="18">E209-F209</f>
        <v>20.099999999999998</v>
      </c>
      <c r="H209" s="65">
        <f t="shared" si="17"/>
        <v>20.074999999999999</v>
      </c>
      <c r="I209" s="67">
        <v>19.600833333333327</v>
      </c>
      <c r="J209" s="180">
        <v>20.6</v>
      </c>
      <c r="K209" s="14">
        <v>10.3</v>
      </c>
      <c r="L209" s="67">
        <v>15.746805555555589</v>
      </c>
      <c r="M209" s="170">
        <v>95.3</v>
      </c>
      <c r="N209" s="31">
        <v>46.1</v>
      </c>
      <c r="O209" s="95">
        <v>81.174305555555762</v>
      </c>
      <c r="P209" s="102">
        <v>1013.62117578459</v>
      </c>
      <c r="Q209" s="21">
        <v>1007.85485138707</v>
      </c>
      <c r="R209" s="60">
        <v>1010.9281092909642</v>
      </c>
      <c r="S209" s="61">
        <v>9.2000000073599999</v>
      </c>
      <c r="T209" s="51">
        <v>5.5566666711119996</v>
      </c>
      <c r="U209" s="25">
        <v>0.88755458586288294</v>
      </c>
      <c r="V209" s="192" t="s">
        <v>214</v>
      </c>
      <c r="W209" s="195" t="s">
        <v>210</v>
      </c>
      <c r="X209" s="26">
        <v>108</v>
      </c>
      <c r="Y209" s="27">
        <v>19.7</v>
      </c>
      <c r="Z209" s="28">
        <v>0</v>
      </c>
      <c r="AA209" s="29">
        <v>0</v>
      </c>
      <c r="AB209" s="285" t="s">
        <v>269</v>
      </c>
    </row>
    <row r="210" spans="1:28" s="20" customFormat="1" x14ac:dyDescent="0.3">
      <c r="A210" s="38">
        <v>44769</v>
      </c>
      <c r="B210" s="39">
        <v>18.100000000000001</v>
      </c>
      <c r="C210" s="14">
        <v>28.8</v>
      </c>
      <c r="D210" s="14">
        <v>17.7</v>
      </c>
      <c r="E210" s="14">
        <v>29.2</v>
      </c>
      <c r="F210" s="14">
        <v>12.2</v>
      </c>
      <c r="G210" s="65">
        <f t="shared" si="18"/>
        <v>17</v>
      </c>
      <c r="H210" s="65">
        <f t="shared" si="17"/>
        <v>20.575000000000003</v>
      </c>
      <c r="I210" s="67">
        <v>20.581180555555534</v>
      </c>
      <c r="J210" s="180">
        <v>19.7</v>
      </c>
      <c r="K210" s="14">
        <v>11.4</v>
      </c>
      <c r="L210" s="67">
        <v>15.504236111111075</v>
      </c>
      <c r="M210" s="170">
        <v>96.8</v>
      </c>
      <c r="N210" s="31">
        <v>47.3</v>
      </c>
      <c r="O210" s="95">
        <v>75.306388888888691</v>
      </c>
      <c r="P210" s="102">
        <v>1015.78258796897</v>
      </c>
      <c r="Q210" s="21">
        <v>1012.5576911105099</v>
      </c>
      <c r="R210" s="60">
        <v>1013.9208609591342</v>
      </c>
      <c r="S210" s="61">
        <v>7.8000000062400003</v>
      </c>
      <c r="T210" s="51">
        <v>5.1400000041119993</v>
      </c>
      <c r="U210" s="25">
        <v>1.4266230631568033</v>
      </c>
      <c r="V210" s="192" t="s">
        <v>214</v>
      </c>
      <c r="W210" s="195"/>
      <c r="X210" s="26">
        <v>0</v>
      </c>
      <c r="Y210" s="27">
        <v>0</v>
      </c>
      <c r="Z210" s="28">
        <v>0</v>
      </c>
      <c r="AA210" s="29">
        <v>0</v>
      </c>
      <c r="AB210" s="285" t="s">
        <v>381</v>
      </c>
    </row>
    <row r="211" spans="1:28" s="20" customFormat="1" x14ac:dyDescent="0.3">
      <c r="A211" s="38">
        <v>44770</v>
      </c>
      <c r="B211" s="39">
        <v>19.100000000000001</v>
      </c>
      <c r="C211" s="14">
        <v>28.4</v>
      </c>
      <c r="D211" s="14">
        <v>21.5</v>
      </c>
      <c r="E211" s="14">
        <v>29.1</v>
      </c>
      <c r="F211" s="14">
        <v>16.7</v>
      </c>
      <c r="G211" s="65">
        <f t="shared" si="18"/>
        <v>12.400000000000002</v>
      </c>
      <c r="H211" s="65">
        <f t="shared" si="17"/>
        <v>22.625</v>
      </c>
      <c r="I211" s="67">
        <v>22.351875000000017</v>
      </c>
      <c r="J211" s="180">
        <v>19.899999999999999</v>
      </c>
      <c r="K211" s="14">
        <v>14.7</v>
      </c>
      <c r="L211" s="67">
        <v>16.903680555555525</v>
      </c>
      <c r="M211" s="170">
        <v>92.8</v>
      </c>
      <c r="N211" s="31">
        <v>47.9</v>
      </c>
      <c r="O211" s="95">
        <v>73.105069444444524</v>
      </c>
      <c r="P211" s="102">
        <v>1018.31114632237</v>
      </c>
      <c r="Q211" s="21">
        <v>1015.45196194315</v>
      </c>
      <c r="R211" s="60">
        <v>1016.6881627764135</v>
      </c>
      <c r="S211" s="61">
        <v>6.8000000054400003</v>
      </c>
      <c r="T211" s="51">
        <v>4.5233333369520015</v>
      </c>
      <c r="U211" s="25">
        <v>1.7010024168197402</v>
      </c>
      <c r="V211" s="192" t="s">
        <v>215</v>
      </c>
      <c r="W211" s="195"/>
      <c r="X211" s="26">
        <v>0</v>
      </c>
      <c r="Y211" s="27">
        <v>0</v>
      </c>
      <c r="Z211" s="28">
        <v>0</v>
      </c>
      <c r="AA211" s="29">
        <v>0</v>
      </c>
      <c r="AB211" s="285" t="s">
        <v>271</v>
      </c>
    </row>
    <row r="212" spans="1:28" s="20" customFormat="1" x14ac:dyDescent="0.3">
      <c r="A212" s="38">
        <v>44771</v>
      </c>
      <c r="B212" s="39">
        <v>19.899999999999999</v>
      </c>
      <c r="C212" s="14">
        <v>33</v>
      </c>
      <c r="D212" s="14">
        <v>20.399999999999999</v>
      </c>
      <c r="E212" s="14">
        <v>33.799999999999997</v>
      </c>
      <c r="F212" s="14">
        <v>13.6</v>
      </c>
      <c r="G212" s="65">
        <f t="shared" si="18"/>
        <v>20.199999999999996</v>
      </c>
      <c r="H212" s="65">
        <f t="shared" si="17"/>
        <v>23.424999999999997</v>
      </c>
      <c r="I212" s="67">
        <v>23.3484722222221</v>
      </c>
      <c r="J212" s="180">
        <v>21.7</v>
      </c>
      <c r="K212" s="14">
        <v>12.6</v>
      </c>
      <c r="L212" s="67">
        <v>17.050277777777776</v>
      </c>
      <c r="M212" s="170">
        <v>95.1</v>
      </c>
      <c r="N212" s="31">
        <v>39.4</v>
      </c>
      <c r="O212" s="95">
        <v>71.408888888888768</v>
      </c>
      <c r="P212" s="102">
        <v>1018.8121684930099</v>
      </c>
      <c r="Q212" s="21">
        <v>1012.89962336229</v>
      </c>
      <c r="R212" s="60">
        <v>1016.257717996513</v>
      </c>
      <c r="S212" s="61">
        <v>7.1000000056800001</v>
      </c>
      <c r="T212" s="51">
        <v>4.6866666704160007</v>
      </c>
      <c r="U212" s="25">
        <v>1.4574993924491801</v>
      </c>
      <c r="V212" s="192" t="s">
        <v>215</v>
      </c>
      <c r="W212" s="195" t="s">
        <v>210</v>
      </c>
      <c r="X212" s="26">
        <v>150</v>
      </c>
      <c r="Y212" s="27">
        <v>18.8</v>
      </c>
      <c r="Z212" s="28">
        <v>0</v>
      </c>
      <c r="AA212" s="29">
        <v>0</v>
      </c>
      <c r="AB212" s="285" t="s">
        <v>383</v>
      </c>
    </row>
    <row r="213" spans="1:28" s="20" customFormat="1" x14ac:dyDescent="0.3">
      <c r="A213" s="38">
        <v>44772</v>
      </c>
      <c r="B213" s="39">
        <v>17.8</v>
      </c>
      <c r="C213" s="14">
        <v>23.3</v>
      </c>
      <c r="D213" s="14">
        <v>18.600000000000001</v>
      </c>
      <c r="E213" s="14">
        <v>28.8</v>
      </c>
      <c r="F213" s="14">
        <v>16.600000000000001</v>
      </c>
      <c r="G213" s="65">
        <f t="shared" si="18"/>
        <v>12.2</v>
      </c>
      <c r="H213" s="65">
        <f>(B213+C213+2*D213)/4</f>
        <v>19.575000000000003</v>
      </c>
      <c r="I213" s="67">
        <v>20.911111111111172</v>
      </c>
      <c r="J213" s="180">
        <v>22.4</v>
      </c>
      <c r="K213" s="14">
        <v>15.8</v>
      </c>
      <c r="L213" s="67">
        <v>18.640833333333347</v>
      </c>
      <c r="M213" s="170">
        <v>96.2</v>
      </c>
      <c r="N213" s="31">
        <v>63.9</v>
      </c>
      <c r="O213" s="95">
        <v>87.522152777777677</v>
      </c>
      <c r="P213" s="102">
        <v>1016.52190351006</v>
      </c>
      <c r="Q213" s="21">
        <v>1009.00439710426</v>
      </c>
      <c r="R213" s="60">
        <v>1011.8387006366105</v>
      </c>
      <c r="S213" s="61">
        <v>6.8000000054400003</v>
      </c>
      <c r="T213" s="51">
        <v>3.9000000031199997</v>
      </c>
      <c r="U213" s="25">
        <v>0.80411224060458464</v>
      </c>
      <c r="V213" s="192" t="s">
        <v>214</v>
      </c>
      <c r="W213" s="195" t="s">
        <v>210</v>
      </c>
      <c r="X213" s="26">
        <v>30</v>
      </c>
      <c r="Y213" s="27">
        <v>13.6</v>
      </c>
      <c r="Z213" s="28">
        <v>0</v>
      </c>
      <c r="AA213" s="29">
        <v>0</v>
      </c>
      <c r="AB213" s="285" t="s">
        <v>388</v>
      </c>
    </row>
    <row r="214" spans="1:28" s="281" customFormat="1" ht="15" thickBot="1" x14ac:dyDescent="0.35">
      <c r="A214" s="38">
        <v>44773</v>
      </c>
      <c r="B214" s="40">
        <v>21.7</v>
      </c>
      <c r="C214" s="22">
        <v>19.899999999999999</v>
      </c>
      <c r="D214" s="22">
        <v>17</v>
      </c>
      <c r="E214" s="22">
        <v>21.7</v>
      </c>
      <c r="F214" s="22">
        <v>16.5</v>
      </c>
      <c r="G214" s="22">
        <f t="shared" si="18"/>
        <v>5.1999999999999993</v>
      </c>
      <c r="H214" s="22">
        <f>(B214+C214+2*D214)/4</f>
        <v>18.899999999999999</v>
      </c>
      <c r="I214" s="68">
        <v>18.604236111111121</v>
      </c>
      <c r="J214" s="181">
        <v>19.399999999999999</v>
      </c>
      <c r="K214" s="22">
        <v>15.2</v>
      </c>
      <c r="L214" s="68">
        <v>17.296666666666688</v>
      </c>
      <c r="M214" s="171">
        <v>96</v>
      </c>
      <c r="N214" s="168">
        <v>79.099999999999994</v>
      </c>
      <c r="O214" s="169">
        <v>92.20513888888901</v>
      </c>
      <c r="P214" s="103">
        <v>1012.1395426599599</v>
      </c>
      <c r="Q214" s="58">
        <v>1007.7986743272299</v>
      </c>
      <c r="R214" s="167">
        <v>1009.7607233736035</v>
      </c>
      <c r="S214" s="63">
        <v>5.8000000046400002</v>
      </c>
      <c r="T214" s="53">
        <v>2.6266666687679998</v>
      </c>
      <c r="U214" s="41">
        <v>0.95897633821574368</v>
      </c>
      <c r="V214" s="196" t="s">
        <v>214</v>
      </c>
      <c r="W214" s="197" t="s">
        <v>210</v>
      </c>
      <c r="X214" s="43">
        <v>36</v>
      </c>
      <c r="Y214" s="44">
        <v>7</v>
      </c>
      <c r="Z214" s="45">
        <v>0</v>
      </c>
      <c r="AA214" s="46">
        <v>0</v>
      </c>
      <c r="AB214" s="286" t="s">
        <v>220</v>
      </c>
    </row>
    <row r="215" spans="1:28" s="34" customFormat="1" x14ac:dyDescent="0.3">
      <c r="A215" s="38">
        <v>44774</v>
      </c>
      <c r="B215" s="64">
        <v>16.399999999999999</v>
      </c>
      <c r="C215" s="30">
        <v>25.7</v>
      </c>
      <c r="D215" s="30">
        <v>16.5</v>
      </c>
      <c r="E215" s="30">
        <v>27.4</v>
      </c>
      <c r="F215" s="30">
        <v>14.4</v>
      </c>
      <c r="G215" s="65">
        <f t="shared" si="18"/>
        <v>12.999999999999998</v>
      </c>
      <c r="H215" s="65">
        <f>(B215+C215+2*D215)/4</f>
        <v>18.774999999999999</v>
      </c>
      <c r="I215" s="72">
        <v>19.424700914848625</v>
      </c>
      <c r="J215" s="30">
        <v>20.8</v>
      </c>
      <c r="K215" s="30">
        <v>13.3</v>
      </c>
      <c r="L215" s="72">
        <v>16.016889514426463</v>
      </c>
      <c r="M215" s="99">
        <v>96.1</v>
      </c>
      <c r="N215" s="31">
        <v>48.1</v>
      </c>
      <c r="O215" s="95">
        <v>82.530049261083747</v>
      </c>
      <c r="P215" s="104">
        <v>1015.57319342101</v>
      </c>
      <c r="Q215" s="32">
        <v>1011.73827276793</v>
      </c>
      <c r="R215" s="60">
        <v>1013.074792037732</v>
      </c>
      <c r="S215" s="97">
        <v>6.8000000054400003</v>
      </c>
      <c r="T215" s="96">
        <v>3.676666669608001</v>
      </c>
      <c r="U215" s="33">
        <v>1.1010819174187332</v>
      </c>
      <c r="V215" s="190" t="s">
        <v>214</v>
      </c>
      <c r="W215" s="198"/>
      <c r="X215" s="91">
        <v>0</v>
      </c>
      <c r="Y215" s="92">
        <v>0</v>
      </c>
      <c r="Z215" s="93">
        <v>0</v>
      </c>
      <c r="AA215" s="98">
        <v>0</v>
      </c>
      <c r="AB215" s="283" t="s">
        <v>231</v>
      </c>
    </row>
    <row r="216" spans="1:28" s="20" customFormat="1" x14ac:dyDescent="0.3">
      <c r="A216" s="38">
        <v>44775</v>
      </c>
      <c r="B216" s="39">
        <v>16.8</v>
      </c>
      <c r="C216" s="14">
        <v>26.3</v>
      </c>
      <c r="D216" s="14">
        <v>18.3</v>
      </c>
      <c r="E216" s="14">
        <v>27.7</v>
      </c>
      <c r="F216" s="14">
        <v>12.9</v>
      </c>
      <c r="G216" s="65">
        <f t="shared" ref="G216:G239" si="19">E216-F216</f>
        <v>14.799999999999999</v>
      </c>
      <c r="H216" s="65">
        <f t="shared" ref="H216:H243" si="20">(B216+C216+2*D216)/4</f>
        <v>19.925000000000001</v>
      </c>
      <c r="I216" s="67">
        <v>20.202222222222211</v>
      </c>
      <c r="J216" s="30">
        <v>21.6</v>
      </c>
      <c r="K216" s="30">
        <v>12.2</v>
      </c>
      <c r="L216" s="72">
        <v>16.87881944444446</v>
      </c>
      <c r="M216" s="99">
        <v>96.5</v>
      </c>
      <c r="N216" s="31">
        <v>62.3</v>
      </c>
      <c r="O216" s="95">
        <v>82.330486111111071</v>
      </c>
      <c r="P216" s="102">
        <v>1018.30821025453</v>
      </c>
      <c r="Q216" s="21">
        <v>1015.26625008228</v>
      </c>
      <c r="R216" s="60">
        <v>1016.5161344275182</v>
      </c>
      <c r="S216" s="61">
        <v>6.5000000052000004</v>
      </c>
      <c r="T216" s="51">
        <v>4.2100000033680001</v>
      </c>
      <c r="U216" s="25">
        <v>1.4670974900953935</v>
      </c>
      <c r="V216" s="192" t="s">
        <v>214</v>
      </c>
      <c r="W216" s="193" t="s">
        <v>261</v>
      </c>
      <c r="X216" s="16">
        <v>0</v>
      </c>
      <c r="Y216" s="17">
        <v>0</v>
      </c>
      <c r="Z216" s="18">
        <v>0</v>
      </c>
      <c r="AA216" s="42">
        <v>0</v>
      </c>
      <c r="AB216" s="284" t="s">
        <v>391</v>
      </c>
    </row>
    <row r="217" spans="1:28" s="20" customFormat="1" x14ac:dyDescent="0.3">
      <c r="A217" s="38">
        <v>44776</v>
      </c>
      <c r="B217" s="39">
        <v>17</v>
      </c>
      <c r="C217" s="14">
        <v>30.7</v>
      </c>
      <c r="D217" s="14">
        <v>18.3</v>
      </c>
      <c r="E217" s="14">
        <v>31.7</v>
      </c>
      <c r="F217" s="14">
        <v>13.8</v>
      </c>
      <c r="G217" s="65">
        <f t="shared" si="19"/>
        <v>17.899999999999999</v>
      </c>
      <c r="H217" s="65">
        <f t="shared" si="20"/>
        <v>21.075000000000003</v>
      </c>
      <c r="I217" s="67">
        <v>21.76173611111108</v>
      </c>
      <c r="J217" s="30">
        <v>21.8</v>
      </c>
      <c r="K217" s="30">
        <v>13</v>
      </c>
      <c r="L217" s="72">
        <v>16.569375000000058</v>
      </c>
      <c r="M217" s="99">
        <v>96.9</v>
      </c>
      <c r="N217" s="31">
        <v>43.1</v>
      </c>
      <c r="O217" s="95">
        <v>75.317291666666534</v>
      </c>
      <c r="P217" s="102">
        <v>1019.38050260873</v>
      </c>
      <c r="Q217" s="21">
        <v>1016.04630976751</v>
      </c>
      <c r="R217" s="60">
        <v>1017.9198921546896</v>
      </c>
      <c r="S217" s="61">
        <v>6.10000000488</v>
      </c>
      <c r="T217" s="51">
        <v>3.6366666695760004</v>
      </c>
      <c r="U217" s="25">
        <v>1.078987619217161</v>
      </c>
      <c r="V217" s="192" t="s">
        <v>213</v>
      </c>
      <c r="W217" s="193"/>
      <c r="X217" s="16">
        <v>0</v>
      </c>
      <c r="Y217" s="17">
        <v>0</v>
      </c>
      <c r="Z217" s="18">
        <v>0</v>
      </c>
      <c r="AA217" s="42">
        <v>0</v>
      </c>
      <c r="AB217" s="284" t="s">
        <v>392</v>
      </c>
    </row>
    <row r="218" spans="1:28" s="20" customFormat="1" x14ac:dyDescent="0.3">
      <c r="A218" s="38">
        <v>44777</v>
      </c>
      <c r="B218" s="39">
        <v>16.899999999999999</v>
      </c>
      <c r="C218" s="14">
        <v>30.9</v>
      </c>
      <c r="D218" s="14">
        <v>18.2</v>
      </c>
      <c r="E218" s="14">
        <v>31.2</v>
      </c>
      <c r="F218" s="14">
        <v>11.6</v>
      </c>
      <c r="G218" s="65">
        <f t="shared" si="19"/>
        <v>19.600000000000001</v>
      </c>
      <c r="H218" s="65">
        <f t="shared" si="20"/>
        <v>21.049999999999997</v>
      </c>
      <c r="I218" s="67">
        <v>21.321736111111125</v>
      </c>
      <c r="J218" s="30">
        <v>20.100000000000001</v>
      </c>
      <c r="K218" s="30">
        <v>10.8</v>
      </c>
      <c r="L218" s="72">
        <v>15.008611111111117</v>
      </c>
      <c r="M218" s="99">
        <v>96.5</v>
      </c>
      <c r="N218" s="31">
        <v>39.1</v>
      </c>
      <c r="O218" s="95">
        <v>71.159791666666706</v>
      </c>
      <c r="P218" s="102">
        <v>1019.71005828835</v>
      </c>
      <c r="Q218" s="21">
        <v>1015.59306380025</v>
      </c>
      <c r="R218" s="60">
        <v>1017.8043123230328</v>
      </c>
      <c r="S218" s="62">
        <v>6.8000000054400003</v>
      </c>
      <c r="T218" s="52">
        <v>4.1700000033360007</v>
      </c>
      <c r="U218" s="19">
        <v>1.0167991337614184</v>
      </c>
      <c r="V218" s="192" t="s">
        <v>214</v>
      </c>
      <c r="W218" s="194"/>
      <c r="X218" s="16">
        <v>0</v>
      </c>
      <c r="Y218" s="17">
        <v>0</v>
      </c>
      <c r="Z218" s="18">
        <v>0</v>
      </c>
      <c r="AA218" s="42">
        <v>0</v>
      </c>
      <c r="AB218" s="284" t="s">
        <v>393</v>
      </c>
    </row>
    <row r="219" spans="1:28" s="20" customFormat="1" x14ac:dyDescent="0.3">
      <c r="A219" s="38">
        <v>44778</v>
      </c>
      <c r="B219" s="39">
        <v>17</v>
      </c>
      <c r="C219" s="14">
        <v>33.6</v>
      </c>
      <c r="D219" s="14">
        <v>19.399999999999999</v>
      </c>
      <c r="E219" s="14">
        <v>34</v>
      </c>
      <c r="F219" s="14">
        <v>11.7</v>
      </c>
      <c r="G219" s="65">
        <f t="shared" si="19"/>
        <v>22.3</v>
      </c>
      <c r="H219" s="65">
        <f t="shared" si="20"/>
        <v>22.35</v>
      </c>
      <c r="I219" s="67">
        <v>22.420347222222233</v>
      </c>
      <c r="J219" s="30">
        <v>22.8</v>
      </c>
      <c r="K219" s="30">
        <v>10.7</v>
      </c>
      <c r="L219" s="72">
        <v>16.478611111111142</v>
      </c>
      <c r="M219" s="99">
        <v>96</v>
      </c>
      <c r="N219" s="31">
        <v>37.4</v>
      </c>
      <c r="O219" s="95">
        <v>72.812569444444534</v>
      </c>
      <c r="P219" s="102">
        <v>1017.9149121550701</v>
      </c>
      <c r="Q219" s="21">
        <v>1012.07387413726</v>
      </c>
      <c r="R219" s="60">
        <v>1014.8353133222677</v>
      </c>
      <c r="S219" s="61">
        <v>3.70000000296</v>
      </c>
      <c r="T219" s="51">
        <v>2.3166666685199999</v>
      </c>
      <c r="U219" s="25">
        <v>0.82617319853224858</v>
      </c>
      <c r="V219" s="192" t="s">
        <v>213</v>
      </c>
      <c r="W219" s="194"/>
      <c r="X219" s="16">
        <v>0</v>
      </c>
      <c r="Y219" s="17">
        <v>0</v>
      </c>
      <c r="Z219" s="18">
        <v>0</v>
      </c>
      <c r="AA219" s="42">
        <v>0</v>
      </c>
      <c r="AB219" s="284" t="s">
        <v>393</v>
      </c>
    </row>
    <row r="220" spans="1:28" s="20" customFormat="1" x14ac:dyDescent="0.3">
      <c r="A220" s="38">
        <v>44779</v>
      </c>
      <c r="B220" s="39">
        <v>18.7</v>
      </c>
      <c r="C220" s="14">
        <v>28.8</v>
      </c>
      <c r="D220" s="14">
        <v>19.600000000000001</v>
      </c>
      <c r="E220" s="14">
        <v>31.4</v>
      </c>
      <c r="F220" s="14">
        <v>14</v>
      </c>
      <c r="G220" s="65">
        <f t="shared" si="19"/>
        <v>17.399999999999999</v>
      </c>
      <c r="H220" s="65">
        <f t="shared" si="20"/>
        <v>21.675000000000001</v>
      </c>
      <c r="I220" s="67">
        <v>22.033611111111068</v>
      </c>
      <c r="J220" s="30">
        <v>22.9</v>
      </c>
      <c r="K220" s="30">
        <v>13.1</v>
      </c>
      <c r="L220" s="72">
        <v>17.561875000000018</v>
      </c>
      <c r="M220" s="99">
        <v>96.5</v>
      </c>
      <c r="N220" s="31">
        <v>55.4</v>
      </c>
      <c r="O220" s="95">
        <v>77.346527777777794</v>
      </c>
      <c r="P220" s="102">
        <v>1021.70688431705</v>
      </c>
      <c r="Q220" s="21">
        <v>1013.847970103</v>
      </c>
      <c r="R220" s="60">
        <v>1016.6000674505694</v>
      </c>
      <c r="S220" s="61">
        <v>10.500000008400001</v>
      </c>
      <c r="T220" s="51">
        <v>6.6533333386560001</v>
      </c>
      <c r="U220" s="25">
        <v>2.6971780050520966</v>
      </c>
      <c r="V220" s="192" t="s">
        <v>215</v>
      </c>
      <c r="W220" s="194"/>
      <c r="X220" s="16">
        <v>0</v>
      </c>
      <c r="Y220" s="17">
        <v>0</v>
      </c>
      <c r="Z220" s="18">
        <v>0</v>
      </c>
      <c r="AA220" s="42">
        <v>0</v>
      </c>
      <c r="AB220" s="284" t="s">
        <v>394</v>
      </c>
    </row>
    <row r="221" spans="1:28" s="20" customFormat="1" x14ac:dyDescent="0.3">
      <c r="A221" s="38">
        <v>44780</v>
      </c>
      <c r="B221" s="39">
        <v>18.2</v>
      </c>
      <c r="C221" s="14">
        <v>25.9</v>
      </c>
      <c r="D221" s="14">
        <v>17</v>
      </c>
      <c r="E221" s="14">
        <v>26.7</v>
      </c>
      <c r="F221" s="14">
        <v>15.8</v>
      </c>
      <c r="G221" s="65">
        <f t="shared" si="19"/>
        <v>10.899999999999999</v>
      </c>
      <c r="H221" s="65">
        <f t="shared" si="20"/>
        <v>19.524999999999999</v>
      </c>
      <c r="I221" s="67">
        <v>20.297847222222199</v>
      </c>
      <c r="J221" s="30">
        <v>16.100000000000001</v>
      </c>
      <c r="K221" s="30">
        <v>10.1</v>
      </c>
      <c r="L221" s="72">
        <v>13.045972222222233</v>
      </c>
      <c r="M221" s="99">
        <v>80.2</v>
      </c>
      <c r="N221" s="31">
        <v>46.8</v>
      </c>
      <c r="O221" s="95">
        <v>64.16361111111118</v>
      </c>
      <c r="P221" s="102">
        <v>1022.61953372194</v>
      </c>
      <c r="Q221" s="21">
        <v>1018.99361326191</v>
      </c>
      <c r="R221" s="60">
        <v>1020.9012683973912</v>
      </c>
      <c r="S221" s="61">
        <v>10.500000008400001</v>
      </c>
      <c r="T221" s="51">
        <v>6.3700000050960002</v>
      </c>
      <c r="U221" s="25">
        <v>2.5034802524844686</v>
      </c>
      <c r="V221" s="192" t="s">
        <v>215</v>
      </c>
      <c r="W221" s="194"/>
      <c r="X221" s="16">
        <v>0</v>
      </c>
      <c r="Y221" s="17">
        <v>0</v>
      </c>
      <c r="Z221" s="18">
        <v>0</v>
      </c>
      <c r="AA221" s="42">
        <v>0</v>
      </c>
      <c r="AB221" s="284" t="s">
        <v>269</v>
      </c>
    </row>
    <row r="222" spans="1:28" s="20" customFormat="1" x14ac:dyDescent="0.3">
      <c r="A222" s="38">
        <v>44781</v>
      </c>
      <c r="B222" s="39">
        <v>19.5</v>
      </c>
      <c r="C222" s="14">
        <v>25.2</v>
      </c>
      <c r="D222" s="14">
        <v>19.2</v>
      </c>
      <c r="E222" s="14">
        <v>26.4</v>
      </c>
      <c r="F222" s="14">
        <v>14.1</v>
      </c>
      <c r="G222" s="65">
        <f t="shared" si="19"/>
        <v>12.299999999999999</v>
      </c>
      <c r="H222" s="65">
        <f t="shared" si="20"/>
        <v>20.774999999999999</v>
      </c>
      <c r="I222" s="67">
        <v>20.18631944444445</v>
      </c>
      <c r="J222" s="30">
        <v>18</v>
      </c>
      <c r="K222" s="30">
        <v>9.8000000000000007</v>
      </c>
      <c r="L222" s="72">
        <v>13.999930555555586</v>
      </c>
      <c r="M222" s="99">
        <v>79.7</v>
      </c>
      <c r="N222" s="31">
        <v>55.1</v>
      </c>
      <c r="O222" s="95">
        <v>68.026805555555626</v>
      </c>
      <c r="P222" s="102">
        <v>1022.04515428667</v>
      </c>
      <c r="Q222" s="21">
        <v>1019.40463526424</v>
      </c>
      <c r="R222" s="60">
        <v>1020.480242624529</v>
      </c>
      <c r="S222" s="61">
        <v>7.8000000062400003</v>
      </c>
      <c r="T222" s="51">
        <v>4.7466666704640001</v>
      </c>
      <c r="U222" s="25">
        <v>2.0440962115478087</v>
      </c>
      <c r="V222" s="192" t="s">
        <v>215</v>
      </c>
      <c r="W222" s="194" t="s">
        <v>210</v>
      </c>
      <c r="X222" s="16">
        <v>6</v>
      </c>
      <c r="Y222" s="17">
        <v>0.1</v>
      </c>
      <c r="Z222" s="18">
        <v>0</v>
      </c>
      <c r="AA222" s="42">
        <v>0</v>
      </c>
      <c r="AB222" s="284" t="s">
        <v>231</v>
      </c>
    </row>
    <row r="223" spans="1:28" s="20" customFormat="1" x14ac:dyDescent="0.3">
      <c r="A223" s="38">
        <v>44782</v>
      </c>
      <c r="B223" s="39">
        <v>18.3</v>
      </c>
      <c r="C223" s="14">
        <v>25.5</v>
      </c>
      <c r="D223" s="14">
        <v>14.7</v>
      </c>
      <c r="E223" s="14">
        <v>26.8</v>
      </c>
      <c r="F223" s="14">
        <v>11.1</v>
      </c>
      <c r="G223" s="65">
        <f t="shared" si="19"/>
        <v>15.700000000000001</v>
      </c>
      <c r="H223" s="65">
        <f t="shared" si="20"/>
        <v>18.299999999999997</v>
      </c>
      <c r="I223" s="67">
        <v>19.196875000000009</v>
      </c>
      <c r="J223" s="30">
        <v>17.399999999999999</v>
      </c>
      <c r="K223" s="30">
        <v>9.5</v>
      </c>
      <c r="L223" s="72">
        <v>13.61090277777774</v>
      </c>
      <c r="M223" s="99">
        <v>90.5</v>
      </c>
      <c r="N223" s="31">
        <v>49.3</v>
      </c>
      <c r="O223" s="95">
        <v>71.501944444444561</v>
      </c>
      <c r="P223" s="102">
        <v>1024.96184491797</v>
      </c>
      <c r="Q223" s="21">
        <v>1021.36106167154</v>
      </c>
      <c r="R223" s="60">
        <v>1022.7457433637085</v>
      </c>
      <c r="S223" s="61">
        <v>10.20000000816</v>
      </c>
      <c r="T223" s="51">
        <v>6.7200000053760007</v>
      </c>
      <c r="U223" s="25">
        <v>2.2074475794955259</v>
      </c>
      <c r="V223" s="192" t="s">
        <v>214</v>
      </c>
      <c r="W223" s="194"/>
      <c r="X223" s="16">
        <v>0</v>
      </c>
      <c r="Y223" s="17">
        <v>0</v>
      </c>
      <c r="Z223" s="18">
        <v>0</v>
      </c>
      <c r="AA223" s="42">
        <v>0</v>
      </c>
      <c r="AB223" s="284" t="s">
        <v>271</v>
      </c>
    </row>
    <row r="224" spans="1:28" s="20" customFormat="1" x14ac:dyDescent="0.3">
      <c r="A224" s="38">
        <v>44783</v>
      </c>
      <c r="B224" s="39">
        <v>14.5</v>
      </c>
      <c r="C224" s="14">
        <v>28.3</v>
      </c>
      <c r="D224" s="14">
        <v>16</v>
      </c>
      <c r="E224" s="14">
        <v>28.9</v>
      </c>
      <c r="F224" s="14">
        <v>8.1999999999999993</v>
      </c>
      <c r="G224" s="65">
        <f t="shared" si="19"/>
        <v>20.7</v>
      </c>
      <c r="H224" s="65">
        <f t="shared" si="20"/>
        <v>18.7</v>
      </c>
      <c r="I224" s="67">
        <v>18.435902777777812</v>
      </c>
      <c r="J224" s="30">
        <v>17.100000000000001</v>
      </c>
      <c r="K224" s="30">
        <v>7.3</v>
      </c>
      <c r="L224" s="72">
        <v>12.714652777777802</v>
      </c>
      <c r="M224" s="99">
        <v>96.3</v>
      </c>
      <c r="N224" s="31">
        <v>43.1</v>
      </c>
      <c r="O224" s="95">
        <v>72.367499999999851</v>
      </c>
      <c r="P224" s="102">
        <v>1025.04143469938</v>
      </c>
      <c r="Q224" s="21">
        <v>1020.86546022977</v>
      </c>
      <c r="R224" s="60">
        <v>1023.1865024008112</v>
      </c>
      <c r="S224" s="61">
        <v>10.20000000816</v>
      </c>
      <c r="T224" s="51">
        <v>6.3066666717119997</v>
      </c>
      <c r="U224" s="25">
        <v>1.8814720827234415</v>
      </c>
      <c r="V224" s="192" t="s">
        <v>214</v>
      </c>
      <c r="W224" s="194" t="s">
        <v>210</v>
      </c>
      <c r="X224" s="16">
        <v>6</v>
      </c>
      <c r="Y224" s="17">
        <v>0.2</v>
      </c>
      <c r="Z224" s="18">
        <v>0</v>
      </c>
      <c r="AA224" s="42">
        <v>0</v>
      </c>
      <c r="AB224" s="284" t="s">
        <v>395</v>
      </c>
    </row>
    <row r="225" spans="1:28" s="20" customFormat="1" x14ac:dyDescent="0.3">
      <c r="A225" s="38">
        <v>44784</v>
      </c>
      <c r="B225" s="39">
        <v>14.1</v>
      </c>
      <c r="C225" s="14">
        <v>25.4</v>
      </c>
      <c r="D225" s="14">
        <v>14.8</v>
      </c>
      <c r="E225" s="14">
        <v>27.7</v>
      </c>
      <c r="F225" s="14">
        <v>8.6999999999999993</v>
      </c>
      <c r="G225" s="65">
        <f t="shared" si="19"/>
        <v>19</v>
      </c>
      <c r="H225" s="65">
        <f t="shared" si="20"/>
        <v>17.274999999999999</v>
      </c>
      <c r="I225" s="67">
        <v>17.352222222222213</v>
      </c>
      <c r="J225" s="30">
        <v>17.8</v>
      </c>
      <c r="K225" s="30">
        <v>7.7</v>
      </c>
      <c r="L225" s="72">
        <v>12.706249999999997</v>
      </c>
      <c r="M225" s="99">
        <v>96</v>
      </c>
      <c r="N225" s="31">
        <v>48.3</v>
      </c>
      <c r="O225" s="95">
        <v>76.156736111111186</v>
      </c>
      <c r="P225" s="102">
        <v>1023.28836074112</v>
      </c>
      <c r="Q225" s="21">
        <v>1018.75782665538</v>
      </c>
      <c r="R225" s="60">
        <v>1021.1537426489492</v>
      </c>
      <c r="S225" s="61">
        <v>8.8000000070399995</v>
      </c>
      <c r="T225" s="51">
        <v>6.6566666719920011</v>
      </c>
      <c r="U225" s="25">
        <v>1.6707096320389536</v>
      </c>
      <c r="V225" s="192" t="s">
        <v>214</v>
      </c>
      <c r="W225" s="194" t="s">
        <v>261</v>
      </c>
      <c r="X225" s="16">
        <v>0</v>
      </c>
      <c r="Y225" s="17">
        <v>0</v>
      </c>
      <c r="Z225" s="18">
        <v>0</v>
      </c>
      <c r="AA225" s="42">
        <v>0</v>
      </c>
      <c r="AB225" s="284" t="s">
        <v>283</v>
      </c>
    </row>
    <row r="226" spans="1:28" s="20" customFormat="1" x14ac:dyDescent="0.3">
      <c r="A226" s="38">
        <v>44785</v>
      </c>
      <c r="B226" s="39">
        <v>14.3</v>
      </c>
      <c r="C226" s="14">
        <v>29.2</v>
      </c>
      <c r="D226" s="14">
        <v>17.600000000000001</v>
      </c>
      <c r="E226" s="14">
        <v>30.3</v>
      </c>
      <c r="F226" s="14">
        <v>8.6999999999999993</v>
      </c>
      <c r="G226" s="65">
        <f t="shared" si="19"/>
        <v>21.6</v>
      </c>
      <c r="H226" s="65">
        <f t="shared" si="20"/>
        <v>19.675000000000001</v>
      </c>
      <c r="I226" s="67">
        <v>19.416597222222215</v>
      </c>
      <c r="J226" s="30">
        <v>19.8</v>
      </c>
      <c r="K226" s="30">
        <v>7.8</v>
      </c>
      <c r="L226" s="72">
        <v>14.54854166666667</v>
      </c>
      <c r="M226" s="99">
        <v>96.5</v>
      </c>
      <c r="N226" s="31">
        <v>43.9</v>
      </c>
      <c r="O226" s="95">
        <v>76.04291666666677</v>
      </c>
      <c r="P226" s="102">
        <v>1021.0038434752699</v>
      </c>
      <c r="Q226" s="21">
        <v>1016.55446999968</v>
      </c>
      <c r="R226" s="60">
        <v>1018.3929309867638</v>
      </c>
      <c r="S226" s="61">
        <v>8.5000000068000006</v>
      </c>
      <c r="T226" s="51">
        <v>5.3933333376479995</v>
      </c>
      <c r="U226" s="25">
        <v>1.5954010579525844</v>
      </c>
      <c r="V226" s="192" t="s">
        <v>215</v>
      </c>
      <c r="W226" s="194"/>
      <c r="X226" s="16">
        <v>0</v>
      </c>
      <c r="Y226" s="17">
        <v>0</v>
      </c>
      <c r="Z226" s="18">
        <v>0</v>
      </c>
      <c r="AA226" s="42">
        <v>0</v>
      </c>
      <c r="AB226" s="284" t="s">
        <v>347</v>
      </c>
    </row>
    <row r="227" spans="1:28" s="20" customFormat="1" x14ac:dyDescent="0.3">
      <c r="A227" s="38">
        <v>44786</v>
      </c>
      <c r="B227" s="39">
        <v>15.5</v>
      </c>
      <c r="C227" s="14">
        <v>24.8</v>
      </c>
      <c r="D227" s="14">
        <v>18.899999999999999</v>
      </c>
      <c r="E227" s="14">
        <v>26.4</v>
      </c>
      <c r="F227" s="14">
        <v>13.5</v>
      </c>
      <c r="G227" s="65">
        <f t="shared" si="19"/>
        <v>12.899999999999999</v>
      </c>
      <c r="H227" s="65">
        <f t="shared" si="20"/>
        <v>19.524999999999999</v>
      </c>
      <c r="I227" s="67">
        <v>19.780277777777744</v>
      </c>
      <c r="J227" s="30">
        <v>20.399999999999999</v>
      </c>
      <c r="K227" s="30">
        <v>12.7</v>
      </c>
      <c r="L227" s="72">
        <v>17.006805555555541</v>
      </c>
      <c r="M227" s="99">
        <v>96.5</v>
      </c>
      <c r="N227" s="31">
        <v>67.5</v>
      </c>
      <c r="O227" s="95">
        <v>84.881736111111195</v>
      </c>
      <c r="P227" s="102">
        <v>1017.01143322992</v>
      </c>
      <c r="Q227" s="21">
        <v>1010.42073027129</v>
      </c>
      <c r="R227" s="60">
        <v>1012.9708137079001</v>
      </c>
      <c r="S227" s="61">
        <v>6.5000000052000004</v>
      </c>
      <c r="T227" s="51">
        <v>3.5433333361679997</v>
      </c>
      <c r="U227" s="25">
        <v>1.2040058276201639</v>
      </c>
      <c r="V227" s="192" t="s">
        <v>215</v>
      </c>
      <c r="W227" s="195" t="s">
        <v>261</v>
      </c>
      <c r="X227" s="26">
        <v>0</v>
      </c>
      <c r="Y227" s="27">
        <v>0</v>
      </c>
      <c r="Z227" s="28">
        <v>0</v>
      </c>
      <c r="AA227" s="29">
        <v>0</v>
      </c>
      <c r="AB227" s="285" t="s">
        <v>231</v>
      </c>
    </row>
    <row r="228" spans="1:28" s="20" customFormat="1" x14ac:dyDescent="0.3">
      <c r="A228" s="38">
        <v>44787</v>
      </c>
      <c r="B228" s="39">
        <v>17.399999999999999</v>
      </c>
      <c r="C228" s="14">
        <v>32</v>
      </c>
      <c r="D228" s="14">
        <v>20.2</v>
      </c>
      <c r="E228" s="14">
        <v>32.4</v>
      </c>
      <c r="F228" s="14">
        <v>14.5</v>
      </c>
      <c r="G228" s="65">
        <f t="shared" si="19"/>
        <v>17.899999999999999</v>
      </c>
      <c r="H228" s="65">
        <f t="shared" si="20"/>
        <v>22.45</v>
      </c>
      <c r="I228" s="67">
        <v>22.33191637630658</v>
      </c>
      <c r="J228" s="30">
        <v>21.7</v>
      </c>
      <c r="K228" s="30">
        <v>13.7</v>
      </c>
      <c r="L228" s="72">
        <v>17.924668989547065</v>
      </c>
      <c r="M228" s="99">
        <v>96.9</v>
      </c>
      <c r="N228" s="31">
        <v>44.9</v>
      </c>
      <c r="O228" s="95">
        <v>78.480487804878095</v>
      </c>
      <c r="P228" s="102">
        <v>1011.00627617728</v>
      </c>
      <c r="Q228" s="21">
        <v>1006.59096522379</v>
      </c>
      <c r="R228" s="60">
        <v>1008.9143522252405</v>
      </c>
      <c r="S228" s="61">
        <v>12.900000010319999</v>
      </c>
      <c r="T228" s="51">
        <v>8.1216666731640004</v>
      </c>
      <c r="U228" s="25">
        <v>1.4119186057806981</v>
      </c>
      <c r="V228" s="192" t="s">
        <v>214</v>
      </c>
      <c r="W228" s="195"/>
      <c r="X228" s="26">
        <v>0</v>
      </c>
      <c r="Y228" s="27">
        <v>0</v>
      </c>
      <c r="Z228" s="28">
        <v>0</v>
      </c>
      <c r="AA228" s="29">
        <v>0</v>
      </c>
      <c r="AB228" s="285" t="s">
        <v>292</v>
      </c>
    </row>
    <row r="229" spans="1:28" s="20" customFormat="1" x14ac:dyDescent="0.3">
      <c r="A229" s="38">
        <v>44788</v>
      </c>
      <c r="B229" s="39">
        <v>16.5</v>
      </c>
      <c r="C229" s="14">
        <v>34.1</v>
      </c>
      <c r="D229" s="14">
        <v>20.9</v>
      </c>
      <c r="E229" s="14">
        <v>34.1</v>
      </c>
      <c r="F229" s="14">
        <v>14.2</v>
      </c>
      <c r="G229" s="65">
        <f t="shared" si="19"/>
        <v>19.900000000000002</v>
      </c>
      <c r="H229" s="65">
        <f t="shared" si="20"/>
        <v>23.1</v>
      </c>
      <c r="I229" s="67">
        <v>22.38972222222224</v>
      </c>
      <c r="J229" s="30">
        <v>21.7</v>
      </c>
      <c r="K229" s="30">
        <v>13.5</v>
      </c>
      <c r="L229" s="72">
        <v>17.375416666666652</v>
      </c>
      <c r="M229" s="99">
        <v>97.2</v>
      </c>
      <c r="N229" s="31">
        <v>43.5</v>
      </c>
      <c r="O229" s="95">
        <v>76.085486111111109</v>
      </c>
      <c r="P229" s="102">
        <v>1008.34732495611</v>
      </c>
      <c r="Q229" s="21">
        <v>1005.00535386652</v>
      </c>
      <c r="R229" s="60">
        <v>1006.8775993069345</v>
      </c>
      <c r="S229" s="61">
        <v>7.1000000056800001</v>
      </c>
      <c r="T229" s="51">
        <v>4.7166666704399995</v>
      </c>
      <c r="U229" s="25">
        <v>1.1569303347426745</v>
      </c>
      <c r="V229" s="192" t="s">
        <v>248</v>
      </c>
      <c r="W229" s="195"/>
      <c r="X229" s="26">
        <v>0</v>
      </c>
      <c r="Y229" s="27">
        <v>0</v>
      </c>
      <c r="Z229" s="28">
        <v>0</v>
      </c>
      <c r="AA229" s="29">
        <v>0</v>
      </c>
      <c r="AB229" s="285" t="s">
        <v>274</v>
      </c>
    </row>
    <row r="230" spans="1:28" s="20" customFormat="1" ht="28.8" x14ac:dyDescent="0.3">
      <c r="A230" s="38">
        <v>44789</v>
      </c>
      <c r="B230" s="39">
        <v>18.600000000000001</v>
      </c>
      <c r="C230" s="14">
        <v>31.3</v>
      </c>
      <c r="D230" s="14">
        <v>19.100000000000001</v>
      </c>
      <c r="E230" s="14">
        <v>34.299999999999997</v>
      </c>
      <c r="F230" s="14">
        <v>15.6</v>
      </c>
      <c r="G230" s="65">
        <f t="shared" si="19"/>
        <v>18.699999999999996</v>
      </c>
      <c r="H230" s="65">
        <f t="shared" si="20"/>
        <v>22.025000000000002</v>
      </c>
      <c r="I230" s="67">
        <v>22.450138888888908</v>
      </c>
      <c r="J230" s="30">
        <v>23.8</v>
      </c>
      <c r="K230" s="30">
        <v>14.8</v>
      </c>
      <c r="L230" s="72">
        <v>18.325902777777827</v>
      </c>
      <c r="M230" s="99">
        <v>96.5</v>
      </c>
      <c r="N230" s="31">
        <v>45.6</v>
      </c>
      <c r="O230" s="95">
        <v>79.767777777777738</v>
      </c>
      <c r="P230" s="102">
        <v>1010.31379129993</v>
      </c>
      <c r="Q230" s="21">
        <v>1005.67509694789</v>
      </c>
      <c r="R230" s="60">
        <v>1007.7120641667984</v>
      </c>
      <c r="S230" s="61">
        <v>9.9000000079199992</v>
      </c>
      <c r="T230" s="51">
        <v>5.8766666713679996</v>
      </c>
      <c r="U230" s="25">
        <v>1.0526772801474951</v>
      </c>
      <c r="V230" s="192" t="s">
        <v>214</v>
      </c>
      <c r="W230" s="195" t="s">
        <v>408</v>
      </c>
      <c r="X230" s="26">
        <v>42</v>
      </c>
      <c r="Y230" s="27">
        <v>3</v>
      </c>
      <c r="Z230" s="28">
        <v>0</v>
      </c>
      <c r="AA230" s="29">
        <v>0</v>
      </c>
      <c r="AB230" s="285" t="s">
        <v>405</v>
      </c>
    </row>
    <row r="231" spans="1:28" s="20" customFormat="1" x14ac:dyDescent="0.3">
      <c r="A231" s="38">
        <v>44790</v>
      </c>
      <c r="B231" s="39">
        <v>18.600000000000001</v>
      </c>
      <c r="C231" s="14">
        <v>33.5</v>
      </c>
      <c r="D231" s="14">
        <v>21.4</v>
      </c>
      <c r="E231" s="14">
        <v>34.4</v>
      </c>
      <c r="F231" s="14">
        <v>15.3</v>
      </c>
      <c r="G231" s="65">
        <f t="shared" si="19"/>
        <v>19.099999999999998</v>
      </c>
      <c r="H231" s="65">
        <f t="shared" si="20"/>
        <v>23.725000000000001</v>
      </c>
      <c r="I231" s="67">
        <v>23.59624999999998</v>
      </c>
      <c r="J231" s="30">
        <v>22.2</v>
      </c>
      <c r="K231" s="30">
        <v>14.6</v>
      </c>
      <c r="L231" s="72">
        <v>18.486041666666654</v>
      </c>
      <c r="M231" s="99">
        <v>97.6</v>
      </c>
      <c r="N231" s="31">
        <v>44</v>
      </c>
      <c r="O231" s="95">
        <v>75.939166666666722</v>
      </c>
      <c r="P231" s="102">
        <v>1012.69813996608</v>
      </c>
      <c r="Q231" s="21">
        <v>1008.55320777932</v>
      </c>
      <c r="R231" s="60">
        <v>1010.2628758937328</v>
      </c>
      <c r="S231" s="61">
        <v>9.9000000079199992</v>
      </c>
      <c r="T231" s="51">
        <v>6.846666672143999</v>
      </c>
      <c r="U231" s="25">
        <v>1.3628474751052628</v>
      </c>
      <c r="V231" s="192" t="s">
        <v>214</v>
      </c>
      <c r="W231" s="195"/>
      <c r="X231" s="26">
        <v>0</v>
      </c>
      <c r="Y231" s="27">
        <v>0</v>
      </c>
      <c r="Z231" s="28">
        <v>0</v>
      </c>
      <c r="AA231" s="29">
        <v>0</v>
      </c>
      <c r="AB231" s="285" t="s">
        <v>320</v>
      </c>
    </row>
    <row r="232" spans="1:28" s="20" customFormat="1" x14ac:dyDescent="0.3">
      <c r="A232" s="38">
        <v>44791</v>
      </c>
      <c r="B232" s="39">
        <v>18.899999999999999</v>
      </c>
      <c r="C232" s="14">
        <v>33.299999999999997</v>
      </c>
      <c r="D232" s="14">
        <v>21.7</v>
      </c>
      <c r="E232" s="14">
        <v>34</v>
      </c>
      <c r="F232" s="14">
        <v>15.3</v>
      </c>
      <c r="G232" s="65">
        <f t="shared" si="19"/>
        <v>18.7</v>
      </c>
      <c r="H232" s="65">
        <f t="shared" si="20"/>
        <v>23.9</v>
      </c>
      <c r="I232" s="67">
        <v>24.207708333333354</v>
      </c>
      <c r="J232" s="30">
        <v>21.7</v>
      </c>
      <c r="K232" s="30">
        <v>14.5</v>
      </c>
      <c r="L232" s="72">
        <v>18.187500000000007</v>
      </c>
      <c r="M232" s="99">
        <v>96.8</v>
      </c>
      <c r="N232" s="31">
        <v>40.9</v>
      </c>
      <c r="O232" s="95">
        <v>72.623749999999959</v>
      </c>
      <c r="P232" s="102">
        <v>1013.60281822322</v>
      </c>
      <c r="Q232" s="21">
        <v>1010.03330368079</v>
      </c>
      <c r="R232" s="60">
        <v>1012.0476823716147</v>
      </c>
      <c r="S232" s="61">
        <v>4.8000000038400001</v>
      </c>
      <c r="T232" s="51">
        <v>2.7766666688879993</v>
      </c>
      <c r="U232" s="25">
        <v>1.0706216747800568</v>
      </c>
      <c r="V232" s="192" t="s">
        <v>214</v>
      </c>
      <c r="W232" s="195"/>
      <c r="X232" s="26">
        <v>0</v>
      </c>
      <c r="Y232" s="27">
        <v>0</v>
      </c>
      <c r="Z232" s="28">
        <v>0</v>
      </c>
      <c r="AA232" s="29">
        <v>0</v>
      </c>
      <c r="AB232" s="285" t="s">
        <v>406</v>
      </c>
    </row>
    <row r="233" spans="1:28" s="20" customFormat="1" x14ac:dyDescent="0.3">
      <c r="A233" s="38">
        <v>44792</v>
      </c>
      <c r="B233" s="39">
        <v>19.3</v>
      </c>
      <c r="C233" s="14">
        <v>34.5</v>
      </c>
      <c r="D233" s="14">
        <v>21.8</v>
      </c>
      <c r="E233" s="14">
        <v>35.1</v>
      </c>
      <c r="F233" s="14">
        <v>15.6</v>
      </c>
      <c r="G233" s="65">
        <f t="shared" si="19"/>
        <v>19.5</v>
      </c>
      <c r="H233" s="65">
        <f t="shared" si="20"/>
        <v>24.35</v>
      </c>
      <c r="I233" s="67">
        <v>24.800833333333362</v>
      </c>
      <c r="J233" s="30">
        <v>22.5</v>
      </c>
      <c r="K233" s="30">
        <v>14.7</v>
      </c>
      <c r="L233" s="72">
        <v>18.756944444444489</v>
      </c>
      <c r="M233" s="99">
        <v>96.2</v>
      </c>
      <c r="N233" s="31">
        <v>42.2</v>
      </c>
      <c r="O233" s="95">
        <v>72.729236111111035</v>
      </c>
      <c r="P233" s="102">
        <v>1013.50120197981</v>
      </c>
      <c r="Q233" s="21">
        <v>1008.96458007281</v>
      </c>
      <c r="R233" s="60">
        <v>1011.3881008965104</v>
      </c>
      <c r="S233" s="61">
        <v>5.10000000408</v>
      </c>
      <c r="T233" s="51">
        <v>2.6450000021160003</v>
      </c>
      <c r="U233" s="25">
        <v>0.93375420950121191</v>
      </c>
      <c r="V233" s="192" t="s">
        <v>248</v>
      </c>
      <c r="W233" s="195"/>
      <c r="X233" s="26">
        <v>0</v>
      </c>
      <c r="Y233" s="27">
        <v>0</v>
      </c>
      <c r="Z233" s="28">
        <v>0</v>
      </c>
      <c r="AA233" s="29">
        <v>0</v>
      </c>
      <c r="AB233" s="285" t="s">
        <v>409</v>
      </c>
    </row>
    <row r="234" spans="1:28" s="20" customFormat="1" x14ac:dyDescent="0.3">
      <c r="A234" s="38">
        <v>44793</v>
      </c>
      <c r="B234" s="39">
        <v>20.399999999999999</v>
      </c>
      <c r="C234" s="14">
        <v>33.9</v>
      </c>
      <c r="D234" s="14">
        <v>22</v>
      </c>
      <c r="E234" s="14">
        <v>35.4</v>
      </c>
      <c r="F234" s="14">
        <v>16.600000000000001</v>
      </c>
      <c r="G234" s="65">
        <f t="shared" si="19"/>
        <v>18.799999999999997</v>
      </c>
      <c r="H234" s="65">
        <f t="shared" si="20"/>
        <v>24.574999999999999</v>
      </c>
      <c r="I234" s="67">
        <v>24.887847222222216</v>
      </c>
      <c r="J234" s="30">
        <v>22.5</v>
      </c>
      <c r="K234" s="30">
        <v>15.7</v>
      </c>
      <c r="L234" s="72">
        <v>19.063055555555554</v>
      </c>
      <c r="M234" s="99">
        <v>96.1</v>
      </c>
      <c r="N234" s="31">
        <v>40</v>
      </c>
      <c r="O234" s="95">
        <v>73.35048611111111</v>
      </c>
      <c r="P234" s="102">
        <v>1011.65409484878</v>
      </c>
      <c r="Q234" s="21">
        <v>1006.98214235553</v>
      </c>
      <c r="R234" s="60">
        <v>1009.3875937358978</v>
      </c>
      <c r="S234" s="61">
        <v>5.8000000046400002</v>
      </c>
      <c r="T234" s="51">
        <v>3.3133333359840003</v>
      </c>
      <c r="U234" s="25">
        <v>1.1535214673965259</v>
      </c>
      <c r="V234" s="192" t="s">
        <v>214</v>
      </c>
      <c r="W234" s="195" t="s">
        <v>261</v>
      </c>
      <c r="X234" s="26">
        <v>0</v>
      </c>
      <c r="Y234" s="27">
        <v>0</v>
      </c>
      <c r="Z234" s="28">
        <v>0</v>
      </c>
      <c r="AA234" s="29">
        <v>0</v>
      </c>
      <c r="AB234" s="285" t="s">
        <v>410</v>
      </c>
    </row>
    <row r="235" spans="1:28" s="20" customFormat="1" x14ac:dyDescent="0.3">
      <c r="A235" s="38">
        <v>44794</v>
      </c>
      <c r="B235" s="39">
        <v>21.6</v>
      </c>
      <c r="C235" s="14">
        <v>28</v>
      </c>
      <c r="D235" s="14">
        <v>19.600000000000001</v>
      </c>
      <c r="E235" s="14">
        <v>29.3</v>
      </c>
      <c r="F235" s="14">
        <v>17.2</v>
      </c>
      <c r="G235" s="65">
        <f t="shared" si="19"/>
        <v>12.100000000000001</v>
      </c>
      <c r="H235" s="65">
        <f t="shared" si="20"/>
        <v>22.200000000000003</v>
      </c>
      <c r="I235" s="67">
        <v>22.06354166666663</v>
      </c>
      <c r="J235" s="30">
        <v>23.8</v>
      </c>
      <c r="K235" s="30">
        <v>16.100000000000001</v>
      </c>
      <c r="L235" s="72">
        <v>19.132708333333287</v>
      </c>
      <c r="M235" s="99">
        <v>95.8</v>
      </c>
      <c r="N235" s="31">
        <v>62.3</v>
      </c>
      <c r="O235" s="95">
        <v>84.51513888888897</v>
      </c>
      <c r="P235" s="102">
        <v>1009.32422458477</v>
      </c>
      <c r="Q235" s="21">
        <v>1006.39385126582</v>
      </c>
      <c r="R235" s="60">
        <v>1008.17691636414</v>
      </c>
      <c r="S235" s="61">
        <v>8.5000000068000006</v>
      </c>
      <c r="T235" s="51">
        <v>4.8016666705080002</v>
      </c>
      <c r="U235" s="25">
        <v>0.79610909154597576</v>
      </c>
      <c r="V235" s="192" t="s">
        <v>214</v>
      </c>
      <c r="W235" s="195" t="s">
        <v>210</v>
      </c>
      <c r="X235" s="26">
        <v>36</v>
      </c>
      <c r="Y235" s="27">
        <v>5.2</v>
      </c>
      <c r="Z235" s="28">
        <v>0</v>
      </c>
      <c r="AA235" s="29">
        <v>0</v>
      </c>
      <c r="AB235" s="285" t="s">
        <v>340</v>
      </c>
    </row>
    <row r="236" spans="1:28" s="20" customFormat="1" x14ac:dyDescent="0.3">
      <c r="A236" s="38">
        <v>44795</v>
      </c>
      <c r="B236" s="39">
        <v>19</v>
      </c>
      <c r="C236" s="14">
        <v>27.4</v>
      </c>
      <c r="D236" s="14">
        <v>17.8</v>
      </c>
      <c r="E236" s="14">
        <v>29.5</v>
      </c>
      <c r="F236" s="14">
        <v>16.899999999999999</v>
      </c>
      <c r="G236" s="65">
        <f t="shared" si="19"/>
        <v>12.600000000000001</v>
      </c>
      <c r="H236" s="65">
        <f t="shared" si="20"/>
        <v>20.5</v>
      </c>
      <c r="I236" s="67">
        <v>21.390277777777786</v>
      </c>
      <c r="J236" s="30">
        <v>23.8</v>
      </c>
      <c r="K236" s="30">
        <v>16.100000000000001</v>
      </c>
      <c r="L236" s="72">
        <v>18.896736111111075</v>
      </c>
      <c r="M236" s="99">
        <v>96.3</v>
      </c>
      <c r="N236" s="31">
        <v>62</v>
      </c>
      <c r="O236" s="95">
        <v>86.682222222222194</v>
      </c>
      <c r="P236" s="102">
        <v>1011.4941208052199</v>
      </c>
      <c r="Q236" s="21">
        <v>1007.7234170444</v>
      </c>
      <c r="R236" s="60">
        <v>1009.4834076136357</v>
      </c>
      <c r="S236" s="61">
        <v>13.600000010880001</v>
      </c>
      <c r="T236" s="51">
        <v>7.5066666726719999</v>
      </c>
      <c r="U236" s="25">
        <v>1.2542932957453579</v>
      </c>
      <c r="V236" s="192" t="s">
        <v>250</v>
      </c>
      <c r="W236" s="195" t="s">
        <v>210</v>
      </c>
      <c r="X236" s="26">
        <v>114</v>
      </c>
      <c r="Y236" s="27">
        <v>18.8</v>
      </c>
      <c r="Z236" s="28">
        <v>0</v>
      </c>
      <c r="AA236" s="29">
        <v>0</v>
      </c>
      <c r="AB236" s="285" t="s">
        <v>426</v>
      </c>
    </row>
    <row r="237" spans="1:28" s="20" customFormat="1" x14ac:dyDescent="0.3">
      <c r="A237" s="38">
        <v>44796</v>
      </c>
      <c r="B237" s="39">
        <v>16.899999999999999</v>
      </c>
      <c r="C237" s="14">
        <v>28.6</v>
      </c>
      <c r="D237" s="14">
        <v>19.7</v>
      </c>
      <c r="E237" s="14">
        <v>29.4</v>
      </c>
      <c r="F237" s="14">
        <v>16.600000000000001</v>
      </c>
      <c r="G237" s="65">
        <f t="shared" si="19"/>
        <v>12.799999999999997</v>
      </c>
      <c r="H237" s="65">
        <f t="shared" si="20"/>
        <v>21.225000000000001</v>
      </c>
      <c r="I237" s="67">
        <v>21.415833333333349</v>
      </c>
      <c r="J237" s="30">
        <v>22.6</v>
      </c>
      <c r="K237" s="30">
        <v>16</v>
      </c>
      <c r="L237" s="72">
        <v>18.192361111111111</v>
      </c>
      <c r="M237" s="99">
        <v>97.8</v>
      </c>
      <c r="N237" s="31">
        <v>55.8</v>
      </c>
      <c r="O237" s="95">
        <v>83.614097222222227</v>
      </c>
      <c r="P237" s="102">
        <v>1015.7036125835</v>
      </c>
      <c r="Q237" s="21">
        <v>1011.20303562163</v>
      </c>
      <c r="R237" s="60">
        <v>1012.9443114288792</v>
      </c>
      <c r="S237" s="61">
        <v>5.10000000408</v>
      </c>
      <c r="T237" s="51">
        <v>3.1633333358640003</v>
      </c>
      <c r="U237" s="25">
        <v>0.83457729535365455</v>
      </c>
      <c r="V237" s="192" t="s">
        <v>251</v>
      </c>
      <c r="W237" s="195"/>
      <c r="X237" s="26">
        <v>0</v>
      </c>
      <c r="Y237" s="27">
        <v>0</v>
      </c>
      <c r="Z237" s="28">
        <v>0</v>
      </c>
      <c r="AA237" s="29">
        <v>0</v>
      </c>
      <c r="AB237" s="285" t="s">
        <v>274</v>
      </c>
    </row>
    <row r="238" spans="1:28" s="20" customFormat="1" x14ac:dyDescent="0.3">
      <c r="A238" s="38">
        <v>44797</v>
      </c>
      <c r="B238" s="39">
        <v>19.8</v>
      </c>
      <c r="C238" s="14">
        <v>27.1</v>
      </c>
      <c r="D238" s="14">
        <v>20.8</v>
      </c>
      <c r="E238" s="14">
        <v>28.8</v>
      </c>
      <c r="F238" s="14">
        <v>16.8</v>
      </c>
      <c r="G238" s="65">
        <f t="shared" si="19"/>
        <v>12</v>
      </c>
      <c r="H238" s="65">
        <f t="shared" si="20"/>
        <v>22.125</v>
      </c>
      <c r="I238" s="67">
        <v>22.031875000000017</v>
      </c>
      <c r="J238" s="30">
        <v>23.2</v>
      </c>
      <c r="K238" s="30">
        <v>16</v>
      </c>
      <c r="L238" s="72">
        <v>19.594027777777836</v>
      </c>
      <c r="M238" s="99">
        <v>96.6</v>
      </c>
      <c r="N238" s="31">
        <v>68.400000000000006</v>
      </c>
      <c r="O238" s="95">
        <v>86.776736111111106</v>
      </c>
      <c r="P238" s="102">
        <v>1017.7730306356</v>
      </c>
      <c r="Q238" s="21">
        <v>1014.92093013432</v>
      </c>
      <c r="R238" s="60">
        <v>1016.2754261247599</v>
      </c>
      <c r="S238" s="61">
        <v>5.8000000046400002</v>
      </c>
      <c r="T238" s="51">
        <v>3.5633333361840003</v>
      </c>
      <c r="U238" s="25">
        <v>1.076983551901741</v>
      </c>
      <c r="V238" s="192" t="s">
        <v>215</v>
      </c>
      <c r="W238" s="195" t="s">
        <v>261</v>
      </c>
      <c r="X238" s="26">
        <v>0</v>
      </c>
      <c r="Y238" s="27">
        <v>0</v>
      </c>
      <c r="Z238" s="28">
        <v>0</v>
      </c>
      <c r="AA238" s="29">
        <v>0</v>
      </c>
      <c r="AB238" s="285" t="s">
        <v>221</v>
      </c>
    </row>
    <row r="239" spans="1:28" s="20" customFormat="1" x14ac:dyDescent="0.3">
      <c r="A239" s="38">
        <v>44798</v>
      </c>
      <c r="B239" s="39">
        <v>18.100000000000001</v>
      </c>
      <c r="C239" s="14">
        <v>33.299999999999997</v>
      </c>
      <c r="D239" s="14">
        <v>19.8</v>
      </c>
      <c r="E239" s="14">
        <v>34.1</v>
      </c>
      <c r="F239" s="14">
        <v>14.6</v>
      </c>
      <c r="G239" s="65">
        <f t="shared" si="19"/>
        <v>19.5</v>
      </c>
      <c r="H239" s="65">
        <f t="shared" si="20"/>
        <v>22.75</v>
      </c>
      <c r="I239" s="67">
        <v>23.511250000000008</v>
      </c>
      <c r="J239" s="30">
        <v>23.4</v>
      </c>
      <c r="K239" s="30">
        <v>12.9</v>
      </c>
      <c r="L239" s="72">
        <v>17.773124999999993</v>
      </c>
      <c r="M239" s="99">
        <v>97.2</v>
      </c>
      <c r="N239" s="31">
        <v>40.6</v>
      </c>
      <c r="O239" s="95">
        <v>73.498055555555609</v>
      </c>
      <c r="P239" s="102">
        <v>1017.53096979258</v>
      </c>
      <c r="Q239" s="21">
        <v>1012.48558484298</v>
      </c>
      <c r="R239" s="60">
        <v>1015.2337576852541</v>
      </c>
      <c r="S239" s="61">
        <v>5.4000000043199998</v>
      </c>
      <c r="T239" s="51">
        <v>3.4433333360880001</v>
      </c>
      <c r="U239" s="25">
        <v>0.88479827160121327</v>
      </c>
      <c r="V239" s="192" t="s">
        <v>215</v>
      </c>
      <c r="W239" s="195"/>
      <c r="X239" s="26">
        <v>0</v>
      </c>
      <c r="Y239" s="27">
        <v>0</v>
      </c>
      <c r="Z239" s="28">
        <v>0</v>
      </c>
      <c r="AA239" s="29">
        <v>0</v>
      </c>
      <c r="AB239" s="285" t="s">
        <v>427</v>
      </c>
    </row>
    <row r="240" spans="1:28" s="20" customFormat="1" x14ac:dyDescent="0.3">
      <c r="A240" s="38">
        <v>44799</v>
      </c>
      <c r="B240" s="39">
        <v>16.100000000000001</v>
      </c>
      <c r="C240" s="14">
        <v>34.4</v>
      </c>
      <c r="D240" s="14">
        <v>17.3</v>
      </c>
      <c r="E240" s="14">
        <v>34.799999999999997</v>
      </c>
      <c r="F240" s="14">
        <v>12.1</v>
      </c>
      <c r="G240" s="65">
        <f t="shared" ref="G240:G270" si="21">E240-F240</f>
        <v>22.699999999999996</v>
      </c>
      <c r="H240" s="65">
        <f t="shared" si="20"/>
        <v>21.274999999999999</v>
      </c>
      <c r="I240" s="67">
        <v>21.541041666666651</v>
      </c>
      <c r="J240" s="30">
        <v>20.3</v>
      </c>
      <c r="K240" s="30">
        <v>11.2</v>
      </c>
      <c r="L240" s="72">
        <v>14.29805555555553</v>
      </c>
      <c r="M240" s="99">
        <v>95.9</v>
      </c>
      <c r="N240" s="31">
        <v>28.3</v>
      </c>
      <c r="O240" s="95">
        <v>68.569027777777777</v>
      </c>
      <c r="P240" s="102">
        <v>1015.1215762783</v>
      </c>
      <c r="Q240" s="21">
        <v>1009.82183874243</v>
      </c>
      <c r="R240" s="60">
        <v>1012.551486705486</v>
      </c>
      <c r="S240" s="61">
        <v>6.5000000052000004</v>
      </c>
      <c r="T240" s="51">
        <v>3.4700000027759996</v>
      </c>
      <c r="U240" s="25">
        <v>1.0351918907629873</v>
      </c>
      <c r="V240" s="192" t="s">
        <v>213</v>
      </c>
      <c r="W240" s="195"/>
      <c r="X240" s="26">
        <v>0</v>
      </c>
      <c r="Y240" s="27">
        <v>0</v>
      </c>
      <c r="Z240" s="28">
        <v>0</v>
      </c>
      <c r="AA240" s="29">
        <v>0</v>
      </c>
      <c r="AB240" s="285" t="s">
        <v>272</v>
      </c>
    </row>
    <row r="241" spans="1:28" s="20" customFormat="1" x14ac:dyDescent="0.3">
      <c r="A241" s="38">
        <v>44800</v>
      </c>
      <c r="B241" s="39">
        <v>14.5</v>
      </c>
      <c r="C241" s="14">
        <v>32.700000000000003</v>
      </c>
      <c r="D241" s="14">
        <v>18.8</v>
      </c>
      <c r="E241" s="14">
        <v>33.6</v>
      </c>
      <c r="F241" s="14">
        <v>10.6</v>
      </c>
      <c r="G241" s="65">
        <f t="shared" si="21"/>
        <v>23</v>
      </c>
      <c r="H241" s="65">
        <f t="shared" si="20"/>
        <v>21.200000000000003</v>
      </c>
      <c r="I241" s="67">
        <v>21.281111111111112</v>
      </c>
      <c r="J241" s="30">
        <v>18.7</v>
      </c>
      <c r="K241" s="30">
        <v>9.5</v>
      </c>
      <c r="L241" s="72">
        <v>14.441111111111086</v>
      </c>
      <c r="M241" s="99">
        <v>95.6</v>
      </c>
      <c r="N241" s="31">
        <v>31.7</v>
      </c>
      <c r="O241" s="95">
        <v>70.030486111111074</v>
      </c>
      <c r="P241" s="102">
        <v>1012.4365530558</v>
      </c>
      <c r="Q241" s="21">
        <v>1008.80006211718</v>
      </c>
      <c r="R241" s="60">
        <v>1010.8823655975184</v>
      </c>
      <c r="S241" s="61">
        <v>4.1000000032799999</v>
      </c>
      <c r="T241" s="51">
        <v>2.470000001976</v>
      </c>
      <c r="U241" s="25">
        <v>0.73940821315190908</v>
      </c>
      <c r="V241" s="192" t="s">
        <v>213</v>
      </c>
      <c r="W241" s="195"/>
      <c r="X241" s="26">
        <v>0</v>
      </c>
      <c r="Y241" s="27">
        <v>0</v>
      </c>
      <c r="Z241" s="28">
        <v>0</v>
      </c>
      <c r="AA241" s="29">
        <v>0</v>
      </c>
      <c r="AB241" s="285" t="s">
        <v>273</v>
      </c>
    </row>
    <row r="242" spans="1:28" s="20" customFormat="1" x14ac:dyDescent="0.3">
      <c r="A242" s="38">
        <v>44801</v>
      </c>
      <c r="B242" s="39">
        <v>16.100000000000001</v>
      </c>
      <c r="C242" s="14">
        <v>23.4</v>
      </c>
      <c r="D242" s="14">
        <v>18.399999999999999</v>
      </c>
      <c r="E242" s="14">
        <v>27.2</v>
      </c>
      <c r="F242" s="14">
        <v>13.6</v>
      </c>
      <c r="G242" s="65">
        <f t="shared" si="21"/>
        <v>13.6</v>
      </c>
      <c r="H242" s="65">
        <f t="shared" si="20"/>
        <v>19.074999999999999</v>
      </c>
      <c r="I242" s="67">
        <v>20.106727400140159</v>
      </c>
      <c r="J242" s="30">
        <v>20.8</v>
      </c>
      <c r="K242" s="30">
        <v>12.7</v>
      </c>
      <c r="L242" s="72">
        <v>16.961387526278838</v>
      </c>
      <c r="M242" s="99">
        <v>96.3</v>
      </c>
      <c r="N242" s="31">
        <v>58.1</v>
      </c>
      <c r="O242" s="95">
        <v>83.214926419060959</v>
      </c>
      <c r="P242" s="102">
        <v>1015.1059812280899</v>
      </c>
      <c r="Q242" s="21">
        <v>1011.19161521043</v>
      </c>
      <c r="R242" s="60">
        <v>1012.724867681</v>
      </c>
      <c r="S242" s="61">
        <v>6.8000000054400003</v>
      </c>
      <c r="T242" s="51">
        <v>3.281666669292</v>
      </c>
      <c r="U242" s="25">
        <v>0.93312787118401719</v>
      </c>
      <c r="V242" s="192" t="s">
        <v>214</v>
      </c>
      <c r="W242" s="195" t="s">
        <v>210</v>
      </c>
      <c r="X242" s="26">
        <v>12</v>
      </c>
      <c r="Y242" s="27">
        <v>2.4</v>
      </c>
      <c r="Z242" s="28">
        <v>0</v>
      </c>
      <c r="AA242" s="29">
        <v>0</v>
      </c>
      <c r="AB242" s="285" t="s">
        <v>428</v>
      </c>
    </row>
    <row r="243" spans="1:28" s="20" customFormat="1" ht="28.8" x14ac:dyDescent="0.3">
      <c r="A243" s="38">
        <v>44802</v>
      </c>
      <c r="B243" s="39">
        <v>17.5</v>
      </c>
      <c r="C243" s="14">
        <v>24.4</v>
      </c>
      <c r="D243" s="14">
        <v>16.600000000000001</v>
      </c>
      <c r="E243" s="14">
        <v>27.6</v>
      </c>
      <c r="F243" s="14">
        <v>13.3</v>
      </c>
      <c r="G243" s="65">
        <f t="shared" si="21"/>
        <v>14.3</v>
      </c>
      <c r="H243" s="65">
        <f t="shared" si="20"/>
        <v>18.774999999999999</v>
      </c>
      <c r="I243" s="67">
        <v>19.824513888888937</v>
      </c>
      <c r="J243" s="30">
        <v>21.4</v>
      </c>
      <c r="K243" s="30">
        <v>12.2</v>
      </c>
      <c r="L243" s="72">
        <v>16.987152777777812</v>
      </c>
      <c r="M243" s="99">
        <v>96.7</v>
      </c>
      <c r="N243" s="31">
        <v>63.1</v>
      </c>
      <c r="O243" s="95">
        <v>84.586944444444526</v>
      </c>
      <c r="P243" s="102">
        <v>1019.56831081959</v>
      </c>
      <c r="Q243" s="21">
        <v>1014.02781129419</v>
      </c>
      <c r="R243" s="60">
        <v>1016.6684048196582</v>
      </c>
      <c r="S243" s="61">
        <v>9.2000000073599999</v>
      </c>
      <c r="T243" s="51">
        <v>4.2033333366959997</v>
      </c>
      <c r="U243" s="25">
        <v>0.97268552168701949</v>
      </c>
      <c r="V243" s="192" t="s">
        <v>215</v>
      </c>
      <c r="W243" s="195"/>
      <c r="X243" s="26">
        <v>0</v>
      </c>
      <c r="Y243" s="27">
        <v>0</v>
      </c>
      <c r="Z243" s="28">
        <v>0</v>
      </c>
      <c r="AA243" s="29">
        <v>0</v>
      </c>
      <c r="AB243" s="285" t="s">
        <v>430</v>
      </c>
    </row>
    <row r="244" spans="1:28" s="20" customFormat="1" x14ac:dyDescent="0.3">
      <c r="A244" s="38">
        <v>44803</v>
      </c>
      <c r="B244" s="39">
        <v>12.5</v>
      </c>
      <c r="C244" s="14">
        <v>28.4</v>
      </c>
      <c r="D244" s="14">
        <v>16.5</v>
      </c>
      <c r="E244" s="14">
        <v>29</v>
      </c>
      <c r="F244" s="14">
        <v>9.5</v>
      </c>
      <c r="G244" s="65">
        <f t="shared" si="21"/>
        <v>19.5</v>
      </c>
      <c r="H244" s="65">
        <f>(B244+C244+2*D244)/4</f>
        <v>18.475000000000001</v>
      </c>
      <c r="I244" s="67">
        <v>18.480972222222224</v>
      </c>
      <c r="J244" s="30">
        <v>17.5</v>
      </c>
      <c r="K244" s="30">
        <v>8.6999999999999993</v>
      </c>
      <c r="L244" s="72">
        <v>13.116805555555517</v>
      </c>
      <c r="M244" s="99">
        <v>97.2</v>
      </c>
      <c r="N244" s="31">
        <v>44</v>
      </c>
      <c r="O244" s="95">
        <v>74.127986111111042</v>
      </c>
      <c r="P244" s="102">
        <v>1020.7702212105399</v>
      </c>
      <c r="Q244" s="21">
        <v>1016.6913687716</v>
      </c>
      <c r="R244" s="60">
        <v>1018.8321582186587</v>
      </c>
      <c r="S244" s="61">
        <v>7.1000000056800001</v>
      </c>
      <c r="T244" s="51">
        <v>4.7800000038239991</v>
      </c>
      <c r="U244" s="25">
        <v>1.3164610557217753</v>
      </c>
      <c r="V244" s="192" t="s">
        <v>214</v>
      </c>
      <c r="W244" s="195"/>
      <c r="X244" s="26">
        <v>0</v>
      </c>
      <c r="Y244" s="27">
        <v>0</v>
      </c>
      <c r="Z244" s="28">
        <v>0</v>
      </c>
      <c r="AA244" s="29">
        <v>0</v>
      </c>
      <c r="AB244" s="285" t="s">
        <v>381</v>
      </c>
    </row>
    <row r="245" spans="1:28" s="343" customFormat="1" ht="15" thickBot="1" x14ac:dyDescent="0.35">
      <c r="A245" s="38">
        <v>44804</v>
      </c>
      <c r="B245" s="323">
        <v>15.3</v>
      </c>
      <c r="C245" s="324">
        <v>25</v>
      </c>
      <c r="D245" s="324">
        <v>15.2</v>
      </c>
      <c r="E245" s="324">
        <v>27.4</v>
      </c>
      <c r="F245" s="324">
        <v>12.1</v>
      </c>
      <c r="G245" s="325">
        <f t="shared" si="21"/>
        <v>15.299999999999999</v>
      </c>
      <c r="H245" s="324">
        <f>(B245+C245+2*D245)/4</f>
        <v>17.674999999999997</v>
      </c>
      <c r="I245" s="326">
        <v>18.169583333333346</v>
      </c>
      <c r="J245" s="324">
        <v>16.8</v>
      </c>
      <c r="K245" s="324">
        <v>9.4</v>
      </c>
      <c r="L245" s="326">
        <v>12.531805555555474</v>
      </c>
      <c r="M245" s="327">
        <v>96.2</v>
      </c>
      <c r="N245" s="328">
        <v>45.7</v>
      </c>
      <c r="O245" s="329">
        <v>71.885138888888847</v>
      </c>
      <c r="P245" s="330">
        <v>1019.22723822373</v>
      </c>
      <c r="Q245" s="331">
        <v>1016.8014672259</v>
      </c>
      <c r="R245" s="332">
        <v>1018.2055089552456</v>
      </c>
      <c r="S245" s="333">
        <v>9.5000000076000006</v>
      </c>
      <c r="T245" s="334">
        <v>6.3733333384319995</v>
      </c>
      <c r="U245" s="335">
        <v>1.742936624519644</v>
      </c>
      <c r="V245" s="336" t="s">
        <v>214</v>
      </c>
      <c r="W245" s="337"/>
      <c r="X245" s="338">
        <v>0</v>
      </c>
      <c r="Y245" s="339">
        <v>0</v>
      </c>
      <c r="Z245" s="340">
        <v>0</v>
      </c>
      <c r="AA245" s="341">
        <v>0</v>
      </c>
      <c r="AB245" s="342" t="s">
        <v>271</v>
      </c>
    </row>
    <row r="246" spans="1:28" s="361" customFormat="1" x14ac:dyDescent="0.3">
      <c r="A246" s="38">
        <v>44805</v>
      </c>
      <c r="B246" s="344">
        <v>14.1</v>
      </c>
      <c r="C246" s="345">
        <v>25.6</v>
      </c>
      <c r="D246" s="345">
        <v>11.9</v>
      </c>
      <c r="E246" s="345">
        <v>26.3</v>
      </c>
      <c r="F246" s="345">
        <v>9.6999999999999993</v>
      </c>
      <c r="G246" s="346">
        <f t="shared" si="21"/>
        <v>16.600000000000001</v>
      </c>
      <c r="H246" s="346">
        <f>(B246+C246+2*D246)/4</f>
        <v>15.875</v>
      </c>
      <c r="I246" s="347">
        <v>16.785955882352955</v>
      </c>
      <c r="J246" s="345">
        <v>13</v>
      </c>
      <c r="K246" s="345">
        <v>6</v>
      </c>
      <c r="L246" s="347">
        <v>9.4976470588235422</v>
      </c>
      <c r="M246" s="348">
        <v>86.3</v>
      </c>
      <c r="N246" s="349">
        <v>39.5</v>
      </c>
      <c r="O246" s="350">
        <v>64.384999999999934</v>
      </c>
      <c r="P246" s="351">
        <v>1020.0441987001</v>
      </c>
      <c r="Q246" s="352">
        <v>1015.88888694831</v>
      </c>
      <c r="R246" s="353">
        <v>1017.629004134275</v>
      </c>
      <c r="S246" s="317">
        <v>11.20000000896</v>
      </c>
      <c r="T246" s="354">
        <v>6.3533333384160002</v>
      </c>
      <c r="U246" s="318">
        <v>1.7685873150362925</v>
      </c>
      <c r="V246" s="319" t="s">
        <v>214</v>
      </c>
      <c r="W246" s="355"/>
      <c r="X246" s="356">
        <v>0</v>
      </c>
      <c r="Y246" s="357">
        <v>0</v>
      </c>
      <c r="Z246" s="358">
        <v>0</v>
      </c>
      <c r="AA246" s="359">
        <v>0</v>
      </c>
      <c r="AB246" s="360" t="s">
        <v>231</v>
      </c>
    </row>
    <row r="247" spans="1:28" s="20" customFormat="1" x14ac:dyDescent="0.3">
      <c r="A247" s="38">
        <v>44806</v>
      </c>
      <c r="B247" s="39">
        <v>9.9</v>
      </c>
      <c r="C247" s="14">
        <v>22</v>
      </c>
      <c r="D247" s="14">
        <v>15.6</v>
      </c>
      <c r="E247" s="14">
        <v>22.6</v>
      </c>
      <c r="F247" s="14">
        <v>6.4</v>
      </c>
      <c r="G247" s="65">
        <f t="shared" si="21"/>
        <v>16.200000000000003</v>
      </c>
      <c r="H247" s="65">
        <f t="shared" ref="H247:H274" si="22">(B247+C247+2*D247)/4</f>
        <v>15.774999999999999</v>
      </c>
      <c r="I247" s="67">
        <v>15.279791666666622</v>
      </c>
      <c r="J247" s="30">
        <v>12.8</v>
      </c>
      <c r="K247" s="30">
        <v>4.8</v>
      </c>
      <c r="L247" s="72">
        <v>9.2493749999999686</v>
      </c>
      <c r="M247" s="99">
        <v>91.7</v>
      </c>
      <c r="N247" s="31">
        <v>49.2</v>
      </c>
      <c r="O247" s="95">
        <v>69.115694444444443</v>
      </c>
      <c r="P247" s="102">
        <v>1019.9071001093</v>
      </c>
      <c r="Q247" s="21">
        <v>1016.17035923004</v>
      </c>
      <c r="R247" s="60">
        <v>1017.7278325865258</v>
      </c>
      <c r="S247" s="61">
        <v>10.500000008400001</v>
      </c>
      <c r="T247" s="51">
        <v>5.8866666713760001</v>
      </c>
      <c r="U247" s="25">
        <v>2.3447108085728727</v>
      </c>
      <c r="V247" s="192" t="s">
        <v>213</v>
      </c>
      <c r="W247" s="193" t="s">
        <v>261</v>
      </c>
      <c r="X247" s="16">
        <v>0</v>
      </c>
      <c r="Y247" s="17">
        <v>0</v>
      </c>
      <c r="Z247" s="18">
        <v>0</v>
      </c>
      <c r="AA247" s="42">
        <v>0</v>
      </c>
      <c r="AB247" s="284" t="s">
        <v>231</v>
      </c>
    </row>
    <row r="248" spans="1:28" s="20" customFormat="1" x14ac:dyDescent="0.3">
      <c r="A248" s="38">
        <v>44807</v>
      </c>
      <c r="B248" s="39">
        <v>16.3</v>
      </c>
      <c r="C248" s="14">
        <v>20.7</v>
      </c>
      <c r="D248" s="14">
        <v>10.7</v>
      </c>
      <c r="E248" s="14">
        <v>23.2</v>
      </c>
      <c r="F248" s="14">
        <v>8.6999999999999993</v>
      </c>
      <c r="G248" s="65">
        <f t="shared" si="21"/>
        <v>14.5</v>
      </c>
      <c r="H248" s="65">
        <f t="shared" si="22"/>
        <v>14.6</v>
      </c>
      <c r="I248" s="67">
        <v>15.510416666666671</v>
      </c>
      <c r="J248" s="30">
        <v>13.9</v>
      </c>
      <c r="K248" s="30">
        <v>7.1</v>
      </c>
      <c r="L248" s="72">
        <v>10.637083333333344</v>
      </c>
      <c r="M248" s="99">
        <v>90.8</v>
      </c>
      <c r="N248" s="31">
        <v>53.7</v>
      </c>
      <c r="O248" s="95">
        <v>73.797152777777711</v>
      </c>
      <c r="P248" s="102">
        <v>1020.9892185787299</v>
      </c>
      <c r="Q248" s="21">
        <v>1016.51336794618</v>
      </c>
      <c r="R248" s="60">
        <v>1018.0885290777812</v>
      </c>
      <c r="S248" s="61">
        <v>7.5000000059999996</v>
      </c>
      <c r="T248" s="51">
        <v>4.7600000038080008</v>
      </c>
      <c r="U248" s="25">
        <v>1.6943965530796588</v>
      </c>
      <c r="V248" s="192" t="s">
        <v>214</v>
      </c>
      <c r="W248" s="193"/>
      <c r="X248" s="16">
        <v>0</v>
      </c>
      <c r="Y248" s="17">
        <v>0</v>
      </c>
      <c r="Z248" s="18">
        <v>0</v>
      </c>
      <c r="AA248" s="42">
        <v>0</v>
      </c>
      <c r="AB248" s="284" t="s">
        <v>271</v>
      </c>
    </row>
    <row r="249" spans="1:28" s="20" customFormat="1" x14ac:dyDescent="0.3">
      <c r="A249" s="38">
        <v>44808</v>
      </c>
      <c r="B249" s="39">
        <v>9.6999999999999993</v>
      </c>
      <c r="C249" s="14">
        <v>23.4</v>
      </c>
      <c r="D249" s="14">
        <v>15.4</v>
      </c>
      <c r="E249" s="14">
        <v>25.2</v>
      </c>
      <c r="F249" s="14">
        <v>7.1</v>
      </c>
      <c r="G249" s="65">
        <f t="shared" si="21"/>
        <v>18.100000000000001</v>
      </c>
      <c r="H249" s="65">
        <f t="shared" si="22"/>
        <v>15.974999999999998</v>
      </c>
      <c r="I249" s="67">
        <v>15.409027777777773</v>
      </c>
      <c r="J249" s="30">
        <v>15.6</v>
      </c>
      <c r="K249" s="30">
        <v>5.9</v>
      </c>
      <c r="L249" s="72">
        <v>11.129305555555604</v>
      </c>
      <c r="M249" s="99">
        <v>95.6</v>
      </c>
      <c r="N249" s="31">
        <v>51.8</v>
      </c>
      <c r="O249" s="95">
        <v>77.553333333333228</v>
      </c>
      <c r="P249" s="102">
        <v>1024.0409316448599</v>
      </c>
      <c r="Q249" s="21">
        <v>1020.0049207607</v>
      </c>
      <c r="R249" s="60">
        <v>1021.4538724523463</v>
      </c>
      <c r="S249" s="62">
        <v>7.1000000056800001</v>
      </c>
      <c r="T249" s="52">
        <v>2.9733333357120002</v>
      </c>
      <c r="U249" s="19">
        <v>0.59708726177812144</v>
      </c>
      <c r="V249" s="192" t="s">
        <v>248</v>
      </c>
      <c r="W249" s="194"/>
      <c r="X249" s="16">
        <v>0</v>
      </c>
      <c r="Y249" s="17">
        <v>0</v>
      </c>
      <c r="Z249" s="18">
        <v>0</v>
      </c>
      <c r="AA249" s="42">
        <v>0</v>
      </c>
      <c r="AB249" s="284" t="s">
        <v>228</v>
      </c>
    </row>
    <row r="250" spans="1:28" s="20" customFormat="1" x14ac:dyDescent="0.3">
      <c r="A250" s="38">
        <v>44809</v>
      </c>
      <c r="B250" s="39">
        <v>13</v>
      </c>
      <c r="C250" s="14">
        <v>27.1</v>
      </c>
      <c r="D250" s="14">
        <v>12.2</v>
      </c>
      <c r="E250" s="14">
        <v>27.7</v>
      </c>
      <c r="F250" s="14">
        <v>9.1</v>
      </c>
      <c r="G250" s="54">
        <f t="shared" si="21"/>
        <v>18.600000000000001</v>
      </c>
      <c r="H250" s="54">
        <f t="shared" si="22"/>
        <v>16.125</v>
      </c>
      <c r="I250" s="67">
        <v>17.802638888888882</v>
      </c>
      <c r="J250" s="30">
        <v>14.3</v>
      </c>
      <c r="K250" s="30">
        <v>6.7</v>
      </c>
      <c r="L250" s="72">
        <v>10.733888888888892</v>
      </c>
      <c r="M250" s="99">
        <v>95.8</v>
      </c>
      <c r="N250" s="31">
        <v>34.5</v>
      </c>
      <c r="O250" s="95">
        <v>67.390555555555565</v>
      </c>
      <c r="P250" s="102">
        <v>1025.4101805846401</v>
      </c>
      <c r="Q250" s="21">
        <v>1022.36960801201</v>
      </c>
      <c r="R250" s="60">
        <v>1023.8819698058981</v>
      </c>
      <c r="S250" s="61">
        <v>6.5000000052000004</v>
      </c>
      <c r="T250" s="51">
        <v>4.3100000034480006</v>
      </c>
      <c r="U250" s="25">
        <v>1.2376618714937295</v>
      </c>
      <c r="V250" s="192" t="s">
        <v>214</v>
      </c>
      <c r="W250" s="194"/>
      <c r="X250" s="16">
        <v>0</v>
      </c>
      <c r="Y250" s="17">
        <v>0</v>
      </c>
      <c r="Z250" s="18">
        <v>0</v>
      </c>
      <c r="AA250" s="42">
        <v>0</v>
      </c>
      <c r="AB250" s="284" t="s">
        <v>269</v>
      </c>
    </row>
    <row r="251" spans="1:28" s="20" customFormat="1" x14ac:dyDescent="0.3">
      <c r="A251" s="38">
        <v>44810</v>
      </c>
      <c r="B251" s="39">
        <v>11.6</v>
      </c>
      <c r="C251" s="14">
        <v>24.5</v>
      </c>
      <c r="D251" s="14">
        <v>13.8</v>
      </c>
      <c r="E251" s="14">
        <v>26.8</v>
      </c>
      <c r="F251" s="14">
        <v>7.9</v>
      </c>
      <c r="G251" s="54">
        <f t="shared" si="21"/>
        <v>18.899999999999999</v>
      </c>
      <c r="H251" s="54">
        <f t="shared" si="22"/>
        <v>15.925000000000001</v>
      </c>
      <c r="I251" s="67">
        <v>16.078750000000017</v>
      </c>
      <c r="J251" s="30">
        <v>13.3</v>
      </c>
      <c r="K251" s="30">
        <v>6.2</v>
      </c>
      <c r="L251" s="72">
        <v>9.8125694444444402</v>
      </c>
      <c r="M251" s="99">
        <v>93.9</v>
      </c>
      <c r="N251" s="31">
        <v>40</v>
      </c>
      <c r="O251" s="95">
        <v>69.642013888888854</v>
      </c>
      <c r="P251" s="102">
        <v>1024.4696309941701</v>
      </c>
      <c r="Q251" s="21">
        <v>1018.82774285268</v>
      </c>
      <c r="R251" s="60">
        <v>1021.3064612738013</v>
      </c>
      <c r="S251" s="61">
        <v>5.8000000046400002</v>
      </c>
      <c r="T251" s="51">
        <v>3.3133333359840003</v>
      </c>
      <c r="U251" s="25">
        <v>0.7582429507150511</v>
      </c>
      <c r="V251" s="192" t="s">
        <v>213</v>
      </c>
      <c r="W251" s="194"/>
      <c r="X251" s="16">
        <v>0</v>
      </c>
      <c r="Y251" s="17">
        <v>0</v>
      </c>
      <c r="Z251" s="18">
        <v>0</v>
      </c>
      <c r="AA251" s="42">
        <v>0</v>
      </c>
      <c r="AB251" s="284" t="s">
        <v>271</v>
      </c>
    </row>
    <row r="252" spans="1:28" s="20" customFormat="1" x14ac:dyDescent="0.3">
      <c r="A252" s="38">
        <v>44811</v>
      </c>
      <c r="B252" s="39">
        <v>12</v>
      </c>
      <c r="C252" s="14">
        <v>27.2</v>
      </c>
      <c r="D252" s="14">
        <v>14.7</v>
      </c>
      <c r="E252" s="14">
        <v>27.8</v>
      </c>
      <c r="F252" s="14">
        <v>8.3000000000000007</v>
      </c>
      <c r="G252" s="54">
        <f t="shared" si="21"/>
        <v>19.5</v>
      </c>
      <c r="H252" s="54">
        <f t="shared" si="22"/>
        <v>17.149999999999999</v>
      </c>
      <c r="I252" s="67">
        <v>17.066874999999982</v>
      </c>
      <c r="J252" s="30">
        <v>16.2</v>
      </c>
      <c r="K252" s="30">
        <v>6.6</v>
      </c>
      <c r="L252" s="72">
        <v>11.779930555555527</v>
      </c>
      <c r="M252" s="99">
        <v>92.2</v>
      </c>
      <c r="N252" s="31">
        <v>45.6</v>
      </c>
      <c r="O252" s="95">
        <v>73.419930555555624</v>
      </c>
      <c r="P252" s="102">
        <v>1019.6041542217999</v>
      </c>
      <c r="Q252" s="21">
        <v>1015.20696005423</v>
      </c>
      <c r="R252" s="60">
        <v>1017.1972625512078</v>
      </c>
      <c r="S252" s="61">
        <v>5.10000000408</v>
      </c>
      <c r="T252" s="51">
        <v>2.6966666688239997</v>
      </c>
      <c r="U252" s="25">
        <v>0.8639215693185871</v>
      </c>
      <c r="V252" s="192" t="s">
        <v>249</v>
      </c>
      <c r="W252" s="194"/>
      <c r="X252" s="16">
        <v>0</v>
      </c>
      <c r="Y252" s="17">
        <v>0</v>
      </c>
      <c r="Z252" s="18">
        <v>0</v>
      </c>
      <c r="AA252" s="42">
        <v>0</v>
      </c>
      <c r="AB252" s="284" t="s">
        <v>271</v>
      </c>
    </row>
    <row r="253" spans="1:28" s="20" customFormat="1" x14ac:dyDescent="0.3">
      <c r="A253" s="38">
        <v>44812</v>
      </c>
      <c r="B253" s="39">
        <v>12.4</v>
      </c>
      <c r="C253" s="14">
        <v>26.2</v>
      </c>
      <c r="D253" s="14">
        <v>20.9</v>
      </c>
      <c r="E253" s="14">
        <v>27.2</v>
      </c>
      <c r="F253" s="14">
        <v>9.8000000000000007</v>
      </c>
      <c r="G253" s="54">
        <f t="shared" si="21"/>
        <v>17.399999999999999</v>
      </c>
      <c r="H253" s="54">
        <f t="shared" si="22"/>
        <v>20.100000000000001</v>
      </c>
      <c r="I253" s="67">
        <v>18.998819444444493</v>
      </c>
      <c r="J253" s="30">
        <v>18.600000000000001</v>
      </c>
      <c r="K253" s="30">
        <v>8.9</v>
      </c>
      <c r="L253" s="72">
        <v>14.635416666666636</v>
      </c>
      <c r="M253" s="99">
        <v>96.5</v>
      </c>
      <c r="N253" s="31">
        <v>55.8</v>
      </c>
      <c r="O253" s="95">
        <v>77.903402777777828</v>
      </c>
      <c r="P253" s="102">
        <v>1016.63632119235</v>
      </c>
      <c r="Q253" s="21">
        <v>1010.40572688547</v>
      </c>
      <c r="R253" s="60">
        <v>1013.7524366533147</v>
      </c>
      <c r="S253" s="61">
        <v>12.20000000976</v>
      </c>
      <c r="T253" s="51">
        <v>5.2566666708719989</v>
      </c>
      <c r="U253" s="25">
        <v>1.9538690491821449</v>
      </c>
      <c r="V253" s="192" t="s">
        <v>251</v>
      </c>
      <c r="W253" s="194" t="s">
        <v>210</v>
      </c>
      <c r="X253" s="16">
        <v>48</v>
      </c>
      <c r="Y253" s="17">
        <v>17.8</v>
      </c>
      <c r="Z253" s="18">
        <v>0</v>
      </c>
      <c r="AA253" s="42">
        <v>0</v>
      </c>
      <c r="AB253" s="284" t="s">
        <v>431</v>
      </c>
    </row>
    <row r="254" spans="1:28" s="20" customFormat="1" x14ac:dyDescent="0.3">
      <c r="A254" s="38">
        <v>44813</v>
      </c>
      <c r="B254" s="39">
        <v>17.5</v>
      </c>
      <c r="C254" s="14">
        <v>22.1</v>
      </c>
      <c r="D254" s="14">
        <v>15.2</v>
      </c>
      <c r="E254" s="14">
        <v>23.8</v>
      </c>
      <c r="F254" s="14">
        <v>13.6</v>
      </c>
      <c r="G254" s="54">
        <f t="shared" si="21"/>
        <v>10.200000000000001</v>
      </c>
      <c r="H254" s="54">
        <f t="shared" si="22"/>
        <v>17.5</v>
      </c>
      <c r="I254" s="67">
        <v>18.705208333333353</v>
      </c>
      <c r="J254" s="30">
        <v>19.600000000000001</v>
      </c>
      <c r="K254" s="30">
        <v>12.7</v>
      </c>
      <c r="L254" s="72">
        <v>16.557291666666689</v>
      </c>
      <c r="M254" s="99">
        <v>96.2</v>
      </c>
      <c r="N254" s="31">
        <v>65.2</v>
      </c>
      <c r="O254" s="95">
        <v>87.900138888888833</v>
      </c>
      <c r="P254" s="102">
        <v>1014.66641447846</v>
      </c>
      <c r="Q254" s="21">
        <v>1011.85599896887</v>
      </c>
      <c r="R254" s="60">
        <v>1013.497746157769</v>
      </c>
      <c r="S254" s="61">
        <v>7.8000000062400003</v>
      </c>
      <c r="T254" s="51">
        <v>4.8000000038400001</v>
      </c>
      <c r="U254" s="25">
        <v>1.0742753631782573</v>
      </c>
      <c r="V254" s="192" t="s">
        <v>212</v>
      </c>
      <c r="W254" s="194" t="s">
        <v>210</v>
      </c>
      <c r="X254" s="16">
        <v>18</v>
      </c>
      <c r="Y254" s="17">
        <v>7.1</v>
      </c>
      <c r="Z254" s="18">
        <v>0</v>
      </c>
      <c r="AA254" s="42">
        <v>0</v>
      </c>
      <c r="AB254" s="284" t="s">
        <v>433</v>
      </c>
    </row>
    <row r="255" spans="1:28" s="20" customFormat="1" x14ac:dyDescent="0.3">
      <c r="A255" s="38">
        <v>44814</v>
      </c>
      <c r="B255" s="39">
        <v>15.1</v>
      </c>
      <c r="C255" s="14">
        <v>20.399999999999999</v>
      </c>
      <c r="D255" s="14">
        <v>12.4</v>
      </c>
      <c r="E255" s="14">
        <v>21.4</v>
      </c>
      <c r="F255" s="14">
        <v>11.5</v>
      </c>
      <c r="G255" s="54">
        <f t="shared" si="21"/>
        <v>9.8999999999999986</v>
      </c>
      <c r="H255" s="54">
        <f t="shared" si="22"/>
        <v>15.074999999999999</v>
      </c>
      <c r="I255" s="67">
        <v>15.640347222222269</v>
      </c>
      <c r="J255" s="30">
        <v>18.7</v>
      </c>
      <c r="K255" s="30">
        <v>10.6</v>
      </c>
      <c r="L255" s="72">
        <v>14.15750000000002</v>
      </c>
      <c r="M255" s="99">
        <v>97.5</v>
      </c>
      <c r="N255" s="31">
        <v>71.5</v>
      </c>
      <c r="O255" s="95">
        <v>91.263402777777912</v>
      </c>
      <c r="P255" s="102">
        <v>1013.88223533302</v>
      </c>
      <c r="Q255" s="21">
        <v>1010.02467935658</v>
      </c>
      <c r="R255" s="60">
        <v>1011.2583205346441</v>
      </c>
      <c r="S255" s="61">
        <v>6.10000000488</v>
      </c>
      <c r="T255" s="51">
        <v>3.2700000026159999</v>
      </c>
      <c r="U255" s="25">
        <v>0.90646748332656779</v>
      </c>
      <c r="V255" s="192" t="s">
        <v>215</v>
      </c>
      <c r="W255" s="194" t="s">
        <v>210</v>
      </c>
      <c r="X255" s="16">
        <v>18</v>
      </c>
      <c r="Y255" s="17">
        <v>15.9</v>
      </c>
      <c r="Z255" s="18">
        <v>0</v>
      </c>
      <c r="AA255" s="42">
        <v>0</v>
      </c>
      <c r="AB255" s="284" t="s">
        <v>434</v>
      </c>
    </row>
    <row r="256" spans="1:28" s="20" customFormat="1" x14ac:dyDescent="0.3">
      <c r="A256" s="38">
        <v>44815</v>
      </c>
      <c r="B256" s="39">
        <v>12.9</v>
      </c>
      <c r="C256" s="14">
        <v>16.8</v>
      </c>
      <c r="D256" s="14">
        <v>13.6</v>
      </c>
      <c r="E256" s="14">
        <v>20.5</v>
      </c>
      <c r="F256" s="14">
        <v>11.8</v>
      </c>
      <c r="G256" s="54">
        <f t="shared" si="21"/>
        <v>8.6999999999999993</v>
      </c>
      <c r="H256" s="54">
        <f t="shared" si="22"/>
        <v>14.225000000000001</v>
      </c>
      <c r="I256" s="67">
        <v>14.924405594405536</v>
      </c>
      <c r="J256" s="30">
        <v>16.899999999999999</v>
      </c>
      <c r="K256" s="30">
        <v>10.7</v>
      </c>
      <c r="L256" s="72">
        <v>13.454405594405566</v>
      </c>
      <c r="M256" s="99">
        <v>98</v>
      </c>
      <c r="N256" s="31">
        <v>69.3</v>
      </c>
      <c r="O256" s="95">
        <v>91.180489510489437</v>
      </c>
      <c r="P256" s="102">
        <v>1012.61686063523</v>
      </c>
      <c r="Q256" s="21">
        <v>1009.4264967729</v>
      </c>
      <c r="R256" s="60">
        <v>1010.7914377658589</v>
      </c>
      <c r="S256" s="61">
        <v>5.8000000046400002</v>
      </c>
      <c r="T256" s="51">
        <v>3.9666666698399999</v>
      </c>
      <c r="U256" s="25">
        <v>0.88723069545681743</v>
      </c>
      <c r="V256" s="192" t="s">
        <v>213</v>
      </c>
      <c r="W256" s="194" t="s">
        <v>210</v>
      </c>
      <c r="X256" s="16">
        <v>12</v>
      </c>
      <c r="Y256" s="17">
        <v>7.3</v>
      </c>
      <c r="Z256" s="18">
        <v>0</v>
      </c>
      <c r="AA256" s="42">
        <v>0</v>
      </c>
      <c r="AB256" s="284" t="s">
        <v>435</v>
      </c>
    </row>
    <row r="257" spans="1:28" s="20" customFormat="1" x14ac:dyDescent="0.3">
      <c r="A257" s="38">
        <v>44816</v>
      </c>
      <c r="B257" s="39">
        <v>10</v>
      </c>
      <c r="C257" s="14">
        <v>18.600000000000001</v>
      </c>
      <c r="D257" s="14">
        <v>11.9</v>
      </c>
      <c r="E257" s="14">
        <v>22.1</v>
      </c>
      <c r="F257" s="14">
        <v>7.7</v>
      </c>
      <c r="G257" s="54">
        <f t="shared" si="21"/>
        <v>14.400000000000002</v>
      </c>
      <c r="H257" s="54">
        <f t="shared" si="22"/>
        <v>13.100000000000001</v>
      </c>
      <c r="I257" s="67">
        <v>13.519861111111108</v>
      </c>
      <c r="J257" s="30">
        <v>12.8</v>
      </c>
      <c r="K257" s="30">
        <v>6.1</v>
      </c>
      <c r="L257" s="72">
        <v>9.1949999999999772</v>
      </c>
      <c r="M257" s="99">
        <v>98.4</v>
      </c>
      <c r="N257" s="31">
        <v>47.6</v>
      </c>
      <c r="O257" s="95">
        <v>77.071041666666815</v>
      </c>
      <c r="P257" s="102">
        <v>1015.31715506122</v>
      </c>
      <c r="Q257" s="21">
        <v>1012.11059406167</v>
      </c>
      <c r="R257" s="60">
        <v>1013.3658012006787</v>
      </c>
      <c r="S257" s="61">
        <v>7.5000000059999996</v>
      </c>
      <c r="T257" s="51">
        <v>4.4533333368959998</v>
      </c>
      <c r="U257" s="25">
        <v>1.3786147512241871</v>
      </c>
      <c r="V257" s="192" t="s">
        <v>215</v>
      </c>
      <c r="W257" s="194"/>
      <c r="X257" s="16">
        <v>0</v>
      </c>
      <c r="Y257" s="17">
        <v>0</v>
      </c>
      <c r="Z257" s="18">
        <v>0</v>
      </c>
      <c r="AA257" s="42">
        <v>0</v>
      </c>
      <c r="AB257" s="284" t="s">
        <v>269</v>
      </c>
    </row>
    <row r="258" spans="1:28" s="20" customFormat="1" x14ac:dyDescent="0.3">
      <c r="A258" s="38">
        <v>44817</v>
      </c>
      <c r="B258" s="39">
        <v>7.4</v>
      </c>
      <c r="C258" s="14">
        <v>20.8</v>
      </c>
      <c r="D258" s="14">
        <v>13.5</v>
      </c>
      <c r="E258" s="14">
        <v>21.3</v>
      </c>
      <c r="F258" s="14">
        <v>5.2</v>
      </c>
      <c r="G258" s="54">
        <f t="shared" si="21"/>
        <v>16.100000000000001</v>
      </c>
      <c r="H258" s="54">
        <f t="shared" si="22"/>
        <v>13.8</v>
      </c>
      <c r="I258" s="67">
        <v>13.24694444444445</v>
      </c>
      <c r="J258" s="30">
        <v>13.9</v>
      </c>
      <c r="K258" s="30">
        <v>4.0999999999999996</v>
      </c>
      <c r="L258" s="72">
        <v>9.1213194444444312</v>
      </c>
      <c r="M258" s="99">
        <v>96.6</v>
      </c>
      <c r="N258" s="31">
        <v>51.4</v>
      </c>
      <c r="O258" s="95">
        <v>78.005972222222226</v>
      </c>
      <c r="P258" s="102">
        <v>1015.13623078793</v>
      </c>
      <c r="Q258" s="21">
        <v>1009.70005405706</v>
      </c>
      <c r="R258" s="60">
        <v>1012.2453888064503</v>
      </c>
      <c r="S258" s="61">
        <v>6.5000000052000004</v>
      </c>
      <c r="T258" s="51">
        <v>3.4800000027840001</v>
      </c>
      <c r="U258" s="25">
        <v>1.0122966747598199</v>
      </c>
      <c r="V258" s="192" t="s">
        <v>248</v>
      </c>
      <c r="W258" s="195"/>
      <c r="X258" s="26">
        <v>0</v>
      </c>
      <c r="Y258" s="27">
        <v>0</v>
      </c>
      <c r="Z258" s="28">
        <v>0</v>
      </c>
      <c r="AA258" s="29">
        <v>0</v>
      </c>
      <c r="AB258" s="285" t="s">
        <v>274</v>
      </c>
    </row>
    <row r="259" spans="1:28" s="20" customFormat="1" x14ac:dyDescent="0.3">
      <c r="A259" s="38">
        <v>44818</v>
      </c>
      <c r="B259" s="39">
        <v>12.2</v>
      </c>
      <c r="C259" s="14">
        <v>15.9</v>
      </c>
      <c r="D259" s="14">
        <v>14.5</v>
      </c>
      <c r="E259" s="14">
        <v>18.5</v>
      </c>
      <c r="F259" s="14">
        <v>10.4</v>
      </c>
      <c r="G259" s="54">
        <f t="shared" si="21"/>
        <v>8.1</v>
      </c>
      <c r="H259" s="54">
        <f t="shared" si="22"/>
        <v>14.275</v>
      </c>
      <c r="I259" s="67">
        <v>14.024791666666721</v>
      </c>
      <c r="J259" s="30">
        <v>13.9</v>
      </c>
      <c r="K259" s="30">
        <v>9.5</v>
      </c>
      <c r="L259" s="72">
        <v>12.279930555555559</v>
      </c>
      <c r="M259" s="99">
        <v>96.8</v>
      </c>
      <c r="N259" s="31">
        <v>70.900000000000006</v>
      </c>
      <c r="O259" s="95">
        <v>89.628958333333387</v>
      </c>
      <c r="P259" s="102">
        <v>1010.35276098217</v>
      </c>
      <c r="Q259" s="21">
        <v>1004.25621624741</v>
      </c>
      <c r="R259" s="60">
        <v>1007.8292430823037</v>
      </c>
      <c r="S259" s="61">
        <v>7.5000000059999996</v>
      </c>
      <c r="T259" s="51">
        <v>5.1400000041120002</v>
      </c>
      <c r="U259" s="25">
        <v>1.5451164550302403</v>
      </c>
      <c r="V259" s="192" t="s">
        <v>249</v>
      </c>
      <c r="W259" s="195" t="s">
        <v>210</v>
      </c>
      <c r="X259" s="26">
        <v>18</v>
      </c>
      <c r="Y259" s="27">
        <v>9.9</v>
      </c>
      <c r="Z259" s="28">
        <v>0</v>
      </c>
      <c r="AA259" s="29">
        <v>0</v>
      </c>
      <c r="AB259" s="285" t="s">
        <v>228</v>
      </c>
    </row>
    <row r="260" spans="1:28" s="20" customFormat="1" x14ac:dyDescent="0.3">
      <c r="A260" s="38">
        <v>44819</v>
      </c>
      <c r="B260" s="39">
        <v>14.9</v>
      </c>
      <c r="C260" s="14">
        <v>23.1</v>
      </c>
      <c r="D260" s="14">
        <v>16.399999999999999</v>
      </c>
      <c r="E260" s="14">
        <v>24.2</v>
      </c>
      <c r="F260" s="14">
        <v>13.7</v>
      </c>
      <c r="G260" s="54">
        <f t="shared" si="21"/>
        <v>10.5</v>
      </c>
      <c r="H260" s="54">
        <f t="shared" si="22"/>
        <v>17.7</v>
      </c>
      <c r="I260" s="67">
        <v>17.492013888888913</v>
      </c>
      <c r="J260" s="30">
        <v>20.100000000000001</v>
      </c>
      <c r="K260" s="30">
        <v>13</v>
      </c>
      <c r="L260" s="72">
        <v>15.854374999999985</v>
      </c>
      <c r="M260" s="99">
        <v>97.3</v>
      </c>
      <c r="N260" s="31">
        <v>70.900000000000006</v>
      </c>
      <c r="O260" s="95">
        <v>90.571736111111107</v>
      </c>
      <c r="P260" s="102">
        <v>1004.46885702536</v>
      </c>
      <c r="Q260" s="21">
        <v>1000.10038891598</v>
      </c>
      <c r="R260" s="60">
        <v>1001.8687902604895</v>
      </c>
      <c r="S260" s="61">
        <v>6.10000000488</v>
      </c>
      <c r="T260" s="51">
        <v>3.9700000031760005</v>
      </c>
      <c r="U260" s="25">
        <v>1.0948475695329711</v>
      </c>
      <c r="V260" s="192" t="s">
        <v>213</v>
      </c>
      <c r="W260" s="195" t="s">
        <v>210</v>
      </c>
      <c r="X260" s="26">
        <v>24</v>
      </c>
      <c r="Y260" s="27">
        <v>4.3</v>
      </c>
      <c r="Z260" s="28">
        <v>0</v>
      </c>
      <c r="AA260" s="29">
        <v>0</v>
      </c>
      <c r="AB260" s="285" t="s">
        <v>220</v>
      </c>
    </row>
    <row r="261" spans="1:28" s="20" customFormat="1" x14ac:dyDescent="0.3">
      <c r="A261" s="38">
        <v>44820</v>
      </c>
      <c r="B261" s="39">
        <v>13.5</v>
      </c>
      <c r="C261" s="14">
        <v>17.8</v>
      </c>
      <c r="D261" s="14">
        <v>13.5</v>
      </c>
      <c r="E261" s="14">
        <v>21</v>
      </c>
      <c r="F261" s="14">
        <v>12.5</v>
      </c>
      <c r="G261" s="54">
        <f t="shared" si="21"/>
        <v>8.5</v>
      </c>
      <c r="H261" s="54">
        <f t="shared" si="22"/>
        <v>14.574999999999999</v>
      </c>
      <c r="I261" s="67">
        <v>15.538611111111083</v>
      </c>
      <c r="J261" s="30">
        <v>16.899999999999999</v>
      </c>
      <c r="K261" s="30">
        <v>11.7</v>
      </c>
      <c r="L261" s="72">
        <v>13.538958333333349</v>
      </c>
      <c r="M261" s="99">
        <v>96.9</v>
      </c>
      <c r="N261" s="31">
        <v>61.2</v>
      </c>
      <c r="O261" s="95">
        <v>88.5340972222223</v>
      </c>
      <c r="P261" s="102">
        <v>1006.62399280259</v>
      </c>
      <c r="Q261" s="21">
        <v>1003.44446634601</v>
      </c>
      <c r="R261" s="60">
        <v>1005.1429299823832</v>
      </c>
      <c r="S261" s="61">
        <v>3.70000000296</v>
      </c>
      <c r="T261" s="51">
        <v>2.28333333516</v>
      </c>
      <c r="U261" s="25">
        <v>0.84656046410954477</v>
      </c>
      <c r="V261" s="192" t="s">
        <v>214</v>
      </c>
      <c r="W261" s="195" t="s">
        <v>210</v>
      </c>
      <c r="X261" s="26">
        <v>60</v>
      </c>
      <c r="Y261" s="27">
        <v>5</v>
      </c>
      <c r="Z261" s="28">
        <v>0</v>
      </c>
      <c r="AA261" s="29">
        <v>0</v>
      </c>
      <c r="AB261" s="285" t="s">
        <v>268</v>
      </c>
    </row>
    <row r="262" spans="1:28" s="20" customFormat="1" x14ac:dyDescent="0.3">
      <c r="A262" s="38">
        <v>44821</v>
      </c>
      <c r="B262" s="39">
        <v>12</v>
      </c>
      <c r="C262" s="14">
        <v>17.2</v>
      </c>
      <c r="D262" s="14">
        <v>11.2</v>
      </c>
      <c r="E262" s="14">
        <v>18.3</v>
      </c>
      <c r="F262" s="14">
        <v>10.6</v>
      </c>
      <c r="G262" s="54">
        <f t="shared" si="21"/>
        <v>7.7000000000000011</v>
      </c>
      <c r="H262" s="54">
        <f t="shared" si="22"/>
        <v>12.899999999999999</v>
      </c>
      <c r="I262" s="67">
        <v>13.610277777777847</v>
      </c>
      <c r="J262" s="30">
        <v>13.8</v>
      </c>
      <c r="K262" s="30">
        <v>9</v>
      </c>
      <c r="L262" s="72">
        <v>11.225277777777793</v>
      </c>
      <c r="M262" s="99">
        <v>97.4</v>
      </c>
      <c r="N262" s="31">
        <v>64.2</v>
      </c>
      <c r="O262" s="95">
        <v>86.201875000000072</v>
      </c>
      <c r="P262" s="102">
        <v>1005.91990346247</v>
      </c>
      <c r="Q262" s="21">
        <v>1002.18250652841</v>
      </c>
      <c r="R262" s="60">
        <v>1004.1261673147721</v>
      </c>
      <c r="S262" s="61">
        <v>3.70000000296</v>
      </c>
      <c r="T262" s="51">
        <v>2.0866666683359996</v>
      </c>
      <c r="U262" s="25">
        <v>0.8036101089461356</v>
      </c>
      <c r="V262" s="192" t="s">
        <v>214</v>
      </c>
      <c r="W262" s="195" t="s">
        <v>210</v>
      </c>
      <c r="X262" s="26">
        <v>18</v>
      </c>
      <c r="Y262" s="27">
        <v>8.9</v>
      </c>
      <c r="Z262" s="28">
        <v>0</v>
      </c>
      <c r="AA262" s="29">
        <v>0</v>
      </c>
      <c r="AB262" s="285" t="s">
        <v>218</v>
      </c>
    </row>
    <row r="263" spans="1:28" s="20" customFormat="1" x14ac:dyDescent="0.3">
      <c r="A263" s="38">
        <v>44822</v>
      </c>
      <c r="B263" s="39">
        <v>8.9</v>
      </c>
      <c r="C263" s="14">
        <v>13.3</v>
      </c>
      <c r="D263" s="14">
        <v>9.4</v>
      </c>
      <c r="E263" s="14">
        <v>17.7</v>
      </c>
      <c r="F263" s="14">
        <v>5.4</v>
      </c>
      <c r="G263" s="54">
        <f t="shared" si="21"/>
        <v>12.299999999999999</v>
      </c>
      <c r="H263" s="54">
        <f t="shared" si="22"/>
        <v>10.25</v>
      </c>
      <c r="I263" s="67">
        <v>10.975944055944051</v>
      </c>
      <c r="J263" s="30">
        <v>12.4</v>
      </c>
      <c r="K263" s="30">
        <v>3.8</v>
      </c>
      <c r="L263" s="72">
        <v>8.4686013986013613</v>
      </c>
      <c r="M263" s="99">
        <v>95.4</v>
      </c>
      <c r="N263" s="31">
        <v>60.3</v>
      </c>
      <c r="O263" s="95">
        <v>85.066083916083841</v>
      </c>
      <c r="P263" s="102">
        <v>1009.41113965011</v>
      </c>
      <c r="Q263" s="21">
        <v>1001.51841102554</v>
      </c>
      <c r="R263" s="60">
        <v>1005.126519897617</v>
      </c>
      <c r="S263" s="61">
        <v>6.5000000052000004</v>
      </c>
      <c r="T263" s="51">
        <v>3.9800000031840006</v>
      </c>
      <c r="U263" s="25">
        <v>1.0273800924102419</v>
      </c>
      <c r="V263" s="192" t="s">
        <v>250</v>
      </c>
      <c r="W263" s="195" t="s">
        <v>210</v>
      </c>
      <c r="X263" s="26">
        <v>6</v>
      </c>
      <c r="Y263" s="27">
        <v>0.4</v>
      </c>
      <c r="Z263" s="28">
        <v>0</v>
      </c>
      <c r="AA263" s="29">
        <v>0</v>
      </c>
      <c r="AB263" s="285" t="s">
        <v>268</v>
      </c>
    </row>
    <row r="264" spans="1:28" s="20" customFormat="1" x14ac:dyDescent="0.3">
      <c r="A264" s="38">
        <v>44823</v>
      </c>
      <c r="B264" s="39">
        <v>7</v>
      </c>
      <c r="C264" s="14">
        <v>13.2</v>
      </c>
      <c r="D264" s="14">
        <v>6.1</v>
      </c>
      <c r="E264" s="14">
        <v>13.2</v>
      </c>
      <c r="F264" s="14">
        <v>3.5</v>
      </c>
      <c r="G264" s="54">
        <f t="shared" si="21"/>
        <v>9.6999999999999993</v>
      </c>
      <c r="H264" s="54">
        <f t="shared" si="22"/>
        <v>8.1</v>
      </c>
      <c r="I264" s="67">
        <v>7.5363888888889017</v>
      </c>
      <c r="J264" s="30">
        <v>11</v>
      </c>
      <c r="K264" s="30">
        <v>2.4</v>
      </c>
      <c r="L264" s="72">
        <v>6.3777777777777755</v>
      </c>
      <c r="M264" s="99">
        <v>97.3</v>
      </c>
      <c r="N264" s="31">
        <v>76.3</v>
      </c>
      <c r="O264" s="95">
        <v>92.487083333333629</v>
      </c>
      <c r="P264" s="102">
        <v>1013.47243764983</v>
      </c>
      <c r="Q264" s="21">
        <v>1007.36344487447</v>
      </c>
      <c r="R264" s="60">
        <v>1010.228597174059</v>
      </c>
      <c r="S264" s="61">
        <v>5.4000000043199998</v>
      </c>
      <c r="T264" s="51">
        <v>3.3966666693839995</v>
      </c>
      <c r="U264" s="25">
        <v>0.83963768183113574</v>
      </c>
      <c r="V264" s="192" t="s">
        <v>214</v>
      </c>
      <c r="W264" s="195" t="s">
        <v>210</v>
      </c>
      <c r="X264" s="26">
        <v>18</v>
      </c>
      <c r="Y264" s="27">
        <v>17.7</v>
      </c>
      <c r="Z264" s="28">
        <v>0</v>
      </c>
      <c r="AA264" s="29">
        <v>0</v>
      </c>
      <c r="AB264" s="285" t="s">
        <v>268</v>
      </c>
    </row>
    <row r="265" spans="1:28" s="20" customFormat="1" x14ac:dyDescent="0.3">
      <c r="A265" s="38">
        <v>44824</v>
      </c>
      <c r="B265" s="39">
        <v>7.5</v>
      </c>
      <c r="C265" s="14">
        <v>13.1</v>
      </c>
      <c r="D265" s="14">
        <v>6.8</v>
      </c>
      <c r="E265" s="14">
        <v>14.4</v>
      </c>
      <c r="F265" s="14">
        <v>6.2</v>
      </c>
      <c r="G265" s="54">
        <f t="shared" si="21"/>
        <v>8.1999999999999993</v>
      </c>
      <c r="H265" s="54">
        <f t="shared" si="22"/>
        <v>8.5500000000000007</v>
      </c>
      <c r="I265" s="67">
        <v>9.0809722222222078</v>
      </c>
      <c r="J265" s="30">
        <v>12.2</v>
      </c>
      <c r="K265" s="30">
        <v>5.6</v>
      </c>
      <c r="L265" s="72">
        <v>7.7334722222222076</v>
      </c>
      <c r="M265" s="99">
        <v>97.3</v>
      </c>
      <c r="N265" s="31">
        <v>73.099999999999994</v>
      </c>
      <c r="O265" s="95">
        <v>91.5636111111112</v>
      </c>
      <c r="P265" s="102">
        <v>1018.20764886188</v>
      </c>
      <c r="Q265" s="21">
        <v>1013.33606655812</v>
      </c>
      <c r="R265" s="60">
        <v>1015.1733371940124</v>
      </c>
      <c r="S265" s="61">
        <v>4.4000000035199998</v>
      </c>
      <c r="T265" s="51">
        <v>3.1000000024800003</v>
      </c>
      <c r="U265" s="25">
        <v>0.53210323245655133</v>
      </c>
      <c r="V265" s="192" t="s">
        <v>213</v>
      </c>
      <c r="W265" s="195" t="s">
        <v>210</v>
      </c>
      <c r="X265" s="26">
        <v>18</v>
      </c>
      <c r="Y265" s="27">
        <v>4.9000000000000004</v>
      </c>
      <c r="Z265" s="28">
        <v>0</v>
      </c>
      <c r="AA265" s="29">
        <v>0</v>
      </c>
      <c r="AB265" s="285" t="s">
        <v>283</v>
      </c>
    </row>
    <row r="266" spans="1:28" s="20" customFormat="1" x14ac:dyDescent="0.3">
      <c r="A266" s="38">
        <v>44825</v>
      </c>
      <c r="B266" s="39">
        <v>8.3000000000000007</v>
      </c>
      <c r="C266" s="14">
        <v>13.9</v>
      </c>
      <c r="D266" s="14">
        <v>8.4</v>
      </c>
      <c r="E266" s="14">
        <v>14.6</v>
      </c>
      <c r="F266" s="14">
        <v>7.2</v>
      </c>
      <c r="G266" s="54">
        <f t="shared" si="21"/>
        <v>7.3999999999999995</v>
      </c>
      <c r="H266" s="54">
        <f t="shared" si="22"/>
        <v>9.75</v>
      </c>
      <c r="I266" s="67">
        <v>10.201874999999989</v>
      </c>
      <c r="J266" s="30">
        <v>13.1</v>
      </c>
      <c r="K266" s="30">
        <v>6.6</v>
      </c>
      <c r="L266" s="72">
        <v>8.6989583333332874</v>
      </c>
      <c r="M266" s="99">
        <v>97.7</v>
      </c>
      <c r="N266" s="31">
        <v>76</v>
      </c>
      <c r="O266" s="95">
        <v>90.668958333333123</v>
      </c>
      <c r="P266" s="102">
        <v>1020.47739322351</v>
      </c>
      <c r="Q266" s="21">
        <v>1017.56796314331</v>
      </c>
      <c r="R266" s="60">
        <v>1018.9468090220046</v>
      </c>
      <c r="S266" s="61">
        <v>7.8000000062400003</v>
      </c>
      <c r="T266" s="51">
        <v>4.8200000038560002</v>
      </c>
      <c r="U266" s="25">
        <v>0.96761939295933441</v>
      </c>
      <c r="V266" s="192" t="s">
        <v>215</v>
      </c>
      <c r="W266" s="195" t="s">
        <v>210</v>
      </c>
      <c r="X266" s="26">
        <v>30</v>
      </c>
      <c r="Y266" s="27">
        <v>1.4</v>
      </c>
      <c r="Z266" s="28">
        <v>0</v>
      </c>
      <c r="AA266" s="29">
        <v>0</v>
      </c>
      <c r="AB266" s="285" t="s">
        <v>283</v>
      </c>
    </row>
    <row r="267" spans="1:28" s="20" customFormat="1" x14ac:dyDescent="0.3">
      <c r="A267" s="38">
        <v>44826</v>
      </c>
      <c r="B267" s="39">
        <v>9.8000000000000007</v>
      </c>
      <c r="C267" s="14">
        <v>16.2</v>
      </c>
      <c r="D267" s="14">
        <v>8.5</v>
      </c>
      <c r="E267" s="14">
        <v>17.399999999999999</v>
      </c>
      <c r="F267" s="14">
        <v>6.6</v>
      </c>
      <c r="G267" s="54">
        <f t="shared" si="21"/>
        <v>10.799999999999999</v>
      </c>
      <c r="H267" s="54">
        <f t="shared" si="22"/>
        <v>10.75</v>
      </c>
      <c r="I267" s="67">
        <v>10.681388888888883</v>
      </c>
      <c r="J267" s="30">
        <v>12.5</v>
      </c>
      <c r="K267" s="30">
        <v>5.8</v>
      </c>
      <c r="L267" s="72">
        <v>8.1063888888888886</v>
      </c>
      <c r="M267" s="99">
        <v>98.1</v>
      </c>
      <c r="N267" s="31">
        <v>62.1</v>
      </c>
      <c r="O267" s="95">
        <v>84.8611111111112</v>
      </c>
      <c r="P267" s="102">
        <v>1020.63909381678</v>
      </c>
      <c r="Q267" s="21">
        <v>1018.05854812109</v>
      </c>
      <c r="R267" s="60">
        <v>1019.5820951062676</v>
      </c>
      <c r="S267" s="61">
        <v>8.5000000068000006</v>
      </c>
      <c r="T267" s="51">
        <v>4.7666666704800003</v>
      </c>
      <c r="U267" s="25">
        <v>1.3537023648070372</v>
      </c>
      <c r="V267" s="192" t="s">
        <v>215</v>
      </c>
      <c r="W267" s="195" t="s">
        <v>210</v>
      </c>
      <c r="X267" s="26">
        <v>6</v>
      </c>
      <c r="Y267" s="27">
        <v>0.3</v>
      </c>
      <c r="Z267" s="28">
        <v>0</v>
      </c>
      <c r="AA267" s="29">
        <v>0</v>
      </c>
      <c r="AB267" s="285" t="s">
        <v>283</v>
      </c>
    </row>
    <row r="268" spans="1:28" s="20" customFormat="1" x14ac:dyDescent="0.3">
      <c r="A268" s="38">
        <v>44827</v>
      </c>
      <c r="B268" s="39">
        <v>6.8</v>
      </c>
      <c r="C268" s="14">
        <v>16.2</v>
      </c>
      <c r="D268" s="14">
        <v>5.4</v>
      </c>
      <c r="E268" s="14">
        <v>16.899999999999999</v>
      </c>
      <c r="F268" s="14">
        <v>3.6</v>
      </c>
      <c r="G268" s="54">
        <f t="shared" si="21"/>
        <v>13.299999999999999</v>
      </c>
      <c r="H268" s="54">
        <f t="shared" si="22"/>
        <v>8.4499999999999993</v>
      </c>
      <c r="I268" s="67">
        <v>9.4767361111111192</v>
      </c>
      <c r="J268" s="30">
        <v>11.5</v>
      </c>
      <c r="K268" s="30">
        <v>2.4</v>
      </c>
      <c r="L268" s="72">
        <v>6.7849305555555439</v>
      </c>
      <c r="M268" s="99">
        <v>97.1</v>
      </c>
      <c r="N268" s="31">
        <v>58.4</v>
      </c>
      <c r="O268" s="95">
        <v>84.312361111111116</v>
      </c>
      <c r="P268" s="102">
        <v>1020.10155022898</v>
      </c>
      <c r="Q268" s="21">
        <v>1016.65296369638</v>
      </c>
      <c r="R268" s="60">
        <v>1018.581265642079</v>
      </c>
      <c r="S268" s="61">
        <v>6.8000000054400003</v>
      </c>
      <c r="T268" s="51">
        <v>3.870000003096</v>
      </c>
      <c r="U268" s="25">
        <v>0.95604634399438715</v>
      </c>
      <c r="V268" s="192" t="s">
        <v>250</v>
      </c>
      <c r="W268" s="195" t="s">
        <v>261</v>
      </c>
      <c r="X268" s="26">
        <v>0</v>
      </c>
      <c r="Y268" s="27">
        <v>0</v>
      </c>
      <c r="Z268" s="28">
        <v>0</v>
      </c>
      <c r="AA268" s="29">
        <v>0</v>
      </c>
      <c r="AB268" s="285" t="s">
        <v>282</v>
      </c>
    </row>
    <row r="269" spans="1:28" s="20" customFormat="1" x14ac:dyDescent="0.3">
      <c r="A269" s="38">
        <v>44828</v>
      </c>
      <c r="B269" s="39">
        <v>4.5</v>
      </c>
      <c r="C269" s="14">
        <v>13.9</v>
      </c>
      <c r="D269" s="14">
        <v>6.8</v>
      </c>
      <c r="E269" s="14">
        <v>14.7</v>
      </c>
      <c r="F269" s="14">
        <v>3.5</v>
      </c>
      <c r="G269" s="54">
        <f t="shared" si="21"/>
        <v>11.2</v>
      </c>
      <c r="H269" s="54">
        <f t="shared" si="22"/>
        <v>8</v>
      </c>
      <c r="I269" s="67">
        <v>7.8602777777777959</v>
      </c>
      <c r="J269" s="30">
        <v>11.5</v>
      </c>
      <c r="K269" s="30">
        <v>2.4</v>
      </c>
      <c r="L269" s="72">
        <v>6.4374305555555162</v>
      </c>
      <c r="M269" s="99">
        <v>96.8</v>
      </c>
      <c r="N269" s="31">
        <v>75.099999999999994</v>
      </c>
      <c r="O269" s="95">
        <v>91.057916666666628</v>
      </c>
      <c r="P269" s="102">
        <v>1018.83344801241</v>
      </c>
      <c r="Q269" s="21">
        <v>1015.00291702581</v>
      </c>
      <c r="R269" s="60">
        <v>1017.0684069805959</v>
      </c>
      <c r="S269" s="61">
        <v>4.8000000038400001</v>
      </c>
      <c r="T269" s="51">
        <v>2.2750000018200005</v>
      </c>
      <c r="U269" s="25">
        <v>0.71779640485023355</v>
      </c>
      <c r="V269" s="192" t="s">
        <v>213</v>
      </c>
      <c r="W269" s="195"/>
      <c r="X269" s="26">
        <v>0</v>
      </c>
      <c r="Y269" s="27">
        <v>0</v>
      </c>
      <c r="Z269" s="28">
        <v>0</v>
      </c>
      <c r="AA269" s="29">
        <v>0</v>
      </c>
      <c r="AB269" s="285" t="s">
        <v>274</v>
      </c>
    </row>
    <row r="270" spans="1:28" s="20" customFormat="1" x14ac:dyDescent="0.3">
      <c r="A270" s="38">
        <v>44829</v>
      </c>
      <c r="B270" s="39">
        <v>6.7</v>
      </c>
      <c r="C270" s="14">
        <v>12.4</v>
      </c>
      <c r="D270" s="14">
        <v>11.7</v>
      </c>
      <c r="E270" s="14">
        <v>14.6</v>
      </c>
      <c r="F270" s="14">
        <v>5.0999999999999996</v>
      </c>
      <c r="G270" s="54">
        <f t="shared" si="21"/>
        <v>9.5</v>
      </c>
      <c r="H270" s="54">
        <f t="shared" si="22"/>
        <v>10.625</v>
      </c>
      <c r="I270" s="67">
        <v>9.9022916666667626</v>
      </c>
      <c r="J270" s="30">
        <v>11.4</v>
      </c>
      <c r="K270" s="30">
        <v>4.3</v>
      </c>
      <c r="L270" s="72">
        <v>8.5256944444444382</v>
      </c>
      <c r="M270" s="99">
        <v>98.4</v>
      </c>
      <c r="N270" s="31">
        <v>74.7</v>
      </c>
      <c r="O270" s="95">
        <v>91.468263888888941</v>
      </c>
      <c r="P270" s="102">
        <v>1016.62095428745</v>
      </c>
      <c r="Q270" s="21">
        <v>1010.15625327698</v>
      </c>
      <c r="R270" s="60">
        <v>1013.4870615593154</v>
      </c>
      <c r="S270" s="61">
        <v>8.5000000068000006</v>
      </c>
      <c r="T270" s="51">
        <v>4.9633333373039994</v>
      </c>
      <c r="U270" s="25">
        <v>1.6976259703503436</v>
      </c>
      <c r="V270" s="192" t="s">
        <v>251</v>
      </c>
      <c r="W270" s="195" t="s">
        <v>210</v>
      </c>
      <c r="X270" s="26">
        <v>6</v>
      </c>
      <c r="Y270" s="27">
        <v>3.8</v>
      </c>
      <c r="Z270" s="28">
        <v>0</v>
      </c>
      <c r="AA270" s="29">
        <v>0</v>
      </c>
      <c r="AB270" s="285" t="s">
        <v>433</v>
      </c>
    </row>
    <row r="271" spans="1:28" s="20" customFormat="1" x14ac:dyDescent="0.3">
      <c r="A271" s="38">
        <v>44830</v>
      </c>
      <c r="B271" s="39">
        <v>11.2</v>
      </c>
      <c r="C271" s="14">
        <v>13.3</v>
      </c>
      <c r="D271" s="14">
        <v>11.3</v>
      </c>
      <c r="E271" s="14">
        <v>13.8</v>
      </c>
      <c r="F271" s="14">
        <v>11</v>
      </c>
      <c r="G271" s="54">
        <f t="shared" ref="G271:G306" si="23">E271-F271</f>
        <v>2.8000000000000007</v>
      </c>
      <c r="H271" s="54">
        <f t="shared" si="22"/>
        <v>11.775</v>
      </c>
      <c r="I271" s="67">
        <v>11.842291666666602</v>
      </c>
      <c r="J271" s="30">
        <v>12.8</v>
      </c>
      <c r="K271" s="30">
        <v>10.199999999999999</v>
      </c>
      <c r="L271" s="72">
        <v>11.090486111111156</v>
      </c>
      <c r="M271" s="99">
        <v>96.7</v>
      </c>
      <c r="N271" s="31">
        <v>92.3</v>
      </c>
      <c r="O271" s="95">
        <v>95.120833333333294</v>
      </c>
      <c r="P271" s="102">
        <v>1010.66793205992</v>
      </c>
      <c r="Q271" s="21">
        <v>1004.15095465465</v>
      </c>
      <c r="R271" s="60">
        <v>1006.4667979504325</v>
      </c>
      <c r="S271" s="61">
        <v>7.8000000062400003</v>
      </c>
      <c r="T271" s="51">
        <v>3.6933333362880001</v>
      </c>
      <c r="U271" s="25">
        <v>0.91143340657880267</v>
      </c>
      <c r="V271" s="192" t="s">
        <v>211</v>
      </c>
      <c r="W271" s="195" t="s">
        <v>210</v>
      </c>
      <c r="X271" s="26">
        <v>24</v>
      </c>
      <c r="Y271" s="27">
        <v>11.2</v>
      </c>
      <c r="Z271" s="28">
        <v>0</v>
      </c>
      <c r="AA271" s="29">
        <v>0</v>
      </c>
      <c r="AB271" s="285" t="s">
        <v>436</v>
      </c>
    </row>
    <row r="272" spans="1:28" s="20" customFormat="1" x14ac:dyDescent="0.3">
      <c r="A272" s="38">
        <v>44831</v>
      </c>
      <c r="B272" s="39">
        <v>11.6</v>
      </c>
      <c r="C272" s="14">
        <v>15.6</v>
      </c>
      <c r="D272" s="14">
        <v>9.3000000000000007</v>
      </c>
      <c r="E272" s="14">
        <v>16.3</v>
      </c>
      <c r="F272" s="14">
        <v>9.1999999999999993</v>
      </c>
      <c r="G272" s="54">
        <f t="shared" si="23"/>
        <v>7.1000000000000014</v>
      </c>
      <c r="H272" s="54">
        <f t="shared" si="22"/>
        <v>11.45</v>
      </c>
      <c r="I272" s="67">
        <v>12.074722222222237</v>
      </c>
      <c r="J272" s="30">
        <v>14.3</v>
      </c>
      <c r="K272" s="30">
        <v>8.4</v>
      </c>
      <c r="L272" s="72">
        <v>10.895069444444504</v>
      </c>
      <c r="M272" s="99">
        <v>97.6</v>
      </c>
      <c r="N272" s="31">
        <v>79.8</v>
      </c>
      <c r="O272" s="95">
        <v>92.68826388888904</v>
      </c>
      <c r="P272" s="102">
        <v>1004.35563279462</v>
      </c>
      <c r="Q272" s="21">
        <v>998.17973755947696</v>
      </c>
      <c r="R272" s="60">
        <v>1000.5349234507886</v>
      </c>
      <c r="S272" s="61">
        <v>4.8000000038400001</v>
      </c>
      <c r="T272" s="51">
        <v>3.4300000027439999</v>
      </c>
      <c r="U272" s="25">
        <v>0.96360667711341352</v>
      </c>
      <c r="V272" s="192" t="s">
        <v>254</v>
      </c>
      <c r="W272" s="195" t="s">
        <v>210</v>
      </c>
      <c r="X272" s="26">
        <v>6</v>
      </c>
      <c r="Y272" s="27">
        <v>6.2</v>
      </c>
      <c r="Z272" s="28">
        <v>0</v>
      </c>
      <c r="AA272" s="29">
        <v>0</v>
      </c>
      <c r="AB272" s="285" t="s">
        <v>218</v>
      </c>
    </row>
    <row r="273" spans="1:28" s="20" customFormat="1" x14ac:dyDescent="0.3">
      <c r="A273" s="38">
        <v>44832</v>
      </c>
      <c r="B273" s="39">
        <v>9.1999999999999993</v>
      </c>
      <c r="C273" s="14">
        <v>17.399999999999999</v>
      </c>
      <c r="D273" s="14">
        <v>13.6</v>
      </c>
      <c r="E273" s="14">
        <v>18</v>
      </c>
      <c r="F273" s="14">
        <v>8.5</v>
      </c>
      <c r="G273" s="54">
        <f t="shared" si="23"/>
        <v>9.5</v>
      </c>
      <c r="H273" s="54">
        <f t="shared" si="22"/>
        <v>13.45</v>
      </c>
      <c r="I273" s="67">
        <v>12.97333333333337</v>
      </c>
      <c r="J273" s="30">
        <v>12.8</v>
      </c>
      <c r="K273" s="30">
        <v>8</v>
      </c>
      <c r="L273" s="72">
        <v>9.6055555555555294</v>
      </c>
      <c r="M273" s="99">
        <v>98</v>
      </c>
      <c r="N273" s="31">
        <v>57.5</v>
      </c>
      <c r="O273" s="95">
        <v>81.372222222222177</v>
      </c>
      <c r="P273" s="102">
        <v>1002.06924000395</v>
      </c>
      <c r="Q273" s="21">
        <v>998.85724815515903</v>
      </c>
      <c r="R273" s="60">
        <v>1000.4772766788385</v>
      </c>
      <c r="S273" s="61">
        <v>10.20000000816</v>
      </c>
      <c r="T273" s="51">
        <v>6.9933333389279992</v>
      </c>
      <c r="U273" s="25">
        <v>1.7880555569859971</v>
      </c>
      <c r="V273" s="192" t="s">
        <v>297</v>
      </c>
      <c r="W273" s="195" t="s">
        <v>210</v>
      </c>
      <c r="X273" s="26">
        <v>12</v>
      </c>
      <c r="Y273" s="27">
        <v>2.9</v>
      </c>
      <c r="Z273" s="28">
        <v>0</v>
      </c>
      <c r="AA273" s="29">
        <v>0</v>
      </c>
      <c r="AB273" s="285" t="s">
        <v>320</v>
      </c>
    </row>
    <row r="274" spans="1:28" s="20" customFormat="1" x14ac:dyDescent="0.3">
      <c r="A274" s="38">
        <v>44833</v>
      </c>
      <c r="B274" s="39">
        <v>10.4</v>
      </c>
      <c r="C274" s="14">
        <v>13</v>
      </c>
      <c r="D274" s="14">
        <v>10.9</v>
      </c>
      <c r="E274" s="14">
        <v>13.4</v>
      </c>
      <c r="F274" s="14">
        <v>10.3</v>
      </c>
      <c r="G274" s="54">
        <f t="shared" si="23"/>
        <v>3.0999999999999996</v>
      </c>
      <c r="H274" s="54">
        <f t="shared" si="22"/>
        <v>11.3</v>
      </c>
      <c r="I274" s="67">
        <v>11.50152777777773</v>
      </c>
      <c r="J274" s="30">
        <v>12.7</v>
      </c>
      <c r="K274" s="30">
        <v>9.1</v>
      </c>
      <c r="L274" s="72">
        <v>10.515138888888876</v>
      </c>
      <c r="M274" s="99">
        <v>97.6</v>
      </c>
      <c r="N274" s="31">
        <v>81.900000000000006</v>
      </c>
      <c r="O274" s="95">
        <v>93.712222222222039</v>
      </c>
      <c r="P274" s="102">
        <v>1008.30186706523</v>
      </c>
      <c r="Q274" s="21">
        <v>1001.0028101121</v>
      </c>
      <c r="R274" s="60">
        <v>1003.5646972222987</v>
      </c>
      <c r="S274" s="61">
        <v>5.10000000408</v>
      </c>
      <c r="T274" s="51">
        <v>2.7666666688799997</v>
      </c>
      <c r="U274" s="25">
        <v>0.67032608749277622</v>
      </c>
      <c r="V274" s="192" t="s">
        <v>251</v>
      </c>
      <c r="W274" s="195" t="s">
        <v>210</v>
      </c>
      <c r="X274" s="26">
        <v>48</v>
      </c>
      <c r="Y274" s="27">
        <v>13</v>
      </c>
      <c r="Z274" s="28">
        <v>0</v>
      </c>
      <c r="AA274" s="29">
        <v>0</v>
      </c>
      <c r="AB274" s="285" t="s">
        <v>437</v>
      </c>
    </row>
    <row r="275" spans="1:28" s="281" customFormat="1" ht="15" thickBot="1" x14ac:dyDescent="0.35">
      <c r="A275" s="38">
        <v>44834</v>
      </c>
      <c r="B275" s="40">
        <v>11</v>
      </c>
      <c r="C275" s="22">
        <v>15</v>
      </c>
      <c r="D275" s="22">
        <v>12.8</v>
      </c>
      <c r="E275" s="22">
        <v>15.9</v>
      </c>
      <c r="F275" s="22">
        <v>10.6</v>
      </c>
      <c r="G275" s="280">
        <f t="shared" si="23"/>
        <v>5.3000000000000007</v>
      </c>
      <c r="H275" s="280">
        <f>(B275+C275+2*D275)/4</f>
        <v>12.9</v>
      </c>
      <c r="I275" s="68">
        <v>12.638819444444417</v>
      </c>
      <c r="J275" s="22">
        <v>15.1</v>
      </c>
      <c r="K275" s="22">
        <v>10.1</v>
      </c>
      <c r="L275" s="68">
        <v>12.078680555555525</v>
      </c>
      <c r="M275" s="74">
        <v>98.2</v>
      </c>
      <c r="N275" s="57">
        <v>94.3</v>
      </c>
      <c r="O275" s="70">
        <v>96.379097222222342</v>
      </c>
      <c r="P275" s="103">
        <v>1014.47076624865</v>
      </c>
      <c r="Q275" s="58">
        <v>1007.68779771866</v>
      </c>
      <c r="R275" s="59">
        <v>1010.2617438704223</v>
      </c>
      <c r="S275" s="63">
        <v>5.8000000046400002</v>
      </c>
      <c r="T275" s="53">
        <v>3.4700000027759996</v>
      </c>
      <c r="U275" s="41">
        <v>0.72849330110233967</v>
      </c>
      <c r="V275" s="196" t="s">
        <v>213</v>
      </c>
      <c r="W275" s="197" t="s">
        <v>210</v>
      </c>
      <c r="X275" s="43">
        <v>42</v>
      </c>
      <c r="Y275" s="44">
        <v>15</v>
      </c>
      <c r="Z275" s="45">
        <v>0</v>
      </c>
      <c r="AA275" s="46">
        <v>0</v>
      </c>
      <c r="AB275" s="286" t="s">
        <v>438</v>
      </c>
    </row>
    <row r="276" spans="1:28" s="34" customFormat="1" x14ac:dyDescent="0.3">
      <c r="A276" s="38">
        <v>44835</v>
      </c>
      <c r="B276" s="64">
        <v>12.9</v>
      </c>
      <c r="C276" s="30">
        <v>15.1</v>
      </c>
      <c r="D276" s="30">
        <v>13.2</v>
      </c>
      <c r="E276" s="30">
        <v>16.2</v>
      </c>
      <c r="F276" s="30">
        <v>11.3</v>
      </c>
      <c r="G276" s="65">
        <f t="shared" si="23"/>
        <v>4.8999999999999986</v>
      </c>
      <c r="H276" s="65">
        <f>(B276+C276+2*D276)/4</f>
        <v>13.6</v>
      </c>
      <c r="I276" s="72">
        <v>13.481799016163093</v>
      </c>
      <c r="J276" s="30">
        <v>15.2</v>
      </c>
      <c r="K276" s="30">
        <v>10.9</v>
      </c>
      <c r="L276" s="72">
        <v>12.958678847505238</v>
      </c>
      <c r="M276" s="99">
        <v>98.7</v>
      </c>
      <c r="N276" s="31">
        <v>93.4</v>
      </c>
      <c r="O276" s="95">
        <v>96.656992269852438</v>
      </c>
      <c r="P276" s="104">
        <v>1014.6754410728699</v>
      </c>
      <c r="Q276" s="32">
        <v>1006.5376071796099</v>
      </c>
      <c r="R276" s="60">
        <v>1011.3172224970933</v>
      </c>
      <c r="S276" s="97">
        <v>6.8000000054400003</v>
      </c>
      <c r="T276" s="96">
        <v>4.5333333369600002</v>
      </c>
      <c r="U276" s="33">
        <v>1.0619306426714932</v>
      </c>
      <c r="V276" s="190" t="s">
        <v>211</v>
      </c>
      <c r="W276" s="198" t="s">
        <v>210</v>
      </c>
      <c r="X276" s="91">
        <v>12</v>
      </c>
      <c r="Y276" s="92">
        <v>4.8</v>
      </c>
      <c r="Z276" s="93">
        <v>0</v>
      </c>
      <c r="AA276" s="98">
        <v>0</v>
      </c>
      <c r="AB276" s="283" t="s">
        <v>439</v>
      </c>
    </row>
    <row r="277" spans="1:28" s="20" customFormat="1" x14ac:dyDescent="0.3">
      <c r="A277" s="38">
        <v>44836</v>
      </c>
      <c r="B277" s="39">
        <v>9.5</v>
      </c>
      <c r="C277" s="14">
        <v>16.100000000000001</v>
      </c>
      <c r="D277" s="14">
        <v>8.8000000000000007</v>
      </c>
      <c r="E277" s="14">
        <v>17.2</v>
      </c>
      <c r="F277" s="14">
        <v>7</v>
      </c>
      <c r="G277" s="65">
        <f t="shared" si="23"/>
        <v>10.199999999999999</v>
      </c>
      <c r="H277" s="65">
        <f t="shared" ref="H277:H304" si="24">(B277+C277+2*D277)/4</f>
        <v>10.8</v>
      </c>
      <c r="I277" s="67">
        <v>11.601458333333335</v>
      </c>
      <c r="J277" s="30">
        <v>14</v>
      </c>
      <c r="K277" s="30">
        <v>6.3</v>
      </c>
      <c r="L277" s="72">
        <v>9.8518750000000228</v>
      </c>
      <c r="M277" s="99">
        <v>99.3</v>
      </c>
      <c r="N277" s="31">
        <v>67.599999999999994</v>
      </c>
      <c r="O277" s="95">
        <v>89.729791666666856</v>
      </c>
      <c r="P277" s="102">
        <v>1013.82403526974</v>
      </c>
      <c r="Q277" s="21">
        <v>1008.46847772288</v>
      </c>
      <c r="R277" s="60">
        <v>1011.9288025346398</v>
      </c>
      <c r="S277" s="61">
        <v>6.5000000052000004</v>
      </c>
      <c r="T277" s="51">
        <v>3.4933333361280008</v>
      </c>
      <c r="U277" s="25">
        <v>0.89247889557200688</v>
      </c>
      <c r="V277" s="192" t="s">
        <v>215</v>
      </c>
      <c r="W277" s="193" t="s">
        <v>210</v>
      </c>
      <c r="X277" s="16">
        <v>6</v>
      </c>
      <c r="Y277" s="17">
        <v>0.4</v>
      </c>
      <c r="Z277" s="18">
        <v>0</v>
      </c>
      <c r="AA277" s="42">
        <v>0</v>
      </c>
      <c r="AB277" s="284" t="s">
        <v>391</v>
      </c>
    </row>
    <row r="278" spans="1:28" s="20" customFormat="1" x14ac:dyDescent="0.3">
      <c r="A278" s="38">
        <v>44837</v>
      </c>
      <c r="B278" s="39">
        <v>7.8</v>
      </c>
      <c r="C278" s="14">
        <v>12.2</v>
      </c>
      <c r="D278" s="14">
        <v>9.1</v>
      </c>
      <c r="E278" s="14">
        <v>14.4</v>
      </c>
      <c r="F278" s="14">
        <v>7.1</v>
      </c>
      <c r="G278" s="65">
        <f t="shared" si="23"/>
        <v>7.3000000000000007</v>
      </c>
      <c r="H278" s="65">
        <f t="shared" si="24"/>
        <v>9.5500000000000007</v>
      </c>
      <c r="I278" s="67">
        <v>10.209999999999976</v>
      </c>
      <c r="J278" s="30">
        <v>10.7</v>
      </c>
      <c r="K278" s="30">
        <v>6.5</v>
      </c>
      <c r="L278" s="72">
        <v>8.3455555555555314</v>
      </c>
      <c r="M278" s="99">
        <v>98.1</v>
      </c>
      <c r="N278" s="31">
        <v>69.5</v>
      </c>
      <c r="O278" s="95">
        <v>88.671944444444478</v>
      </c>
      <c r="P278" s="102">
        <v>1015.72659841441</v>
      </c>
      <c r="Q278" s="21">
        <v>1011.40887165279</v>
      </c>
      <c r="R278" s="60">
        <v>1012.680584744291</v>
      </c>
      <c r="S278" s="61">
        <v>8.5000000068000006</v>
      </c>
      <c r="T278" s="51">
        <v>3.7300000029840001</v>
      </c>
      <c r="U278" s="25">
        <v>1.188173217835548</v>
      </c>
      <c r="V278" s="192" t="s">
        <v>215</v>
      </c>
      <c r="W278" s="193" t="s">
        <v>210</v>
      </c>
      <c r="X278" s="16">
        <v>6</v>
      </c>
      <c r="Y278" s="17">
        <v>1.8</v>
      </c>
      <c r="Z278" s="18">
        <v>0</v>
      </c>
      <c r="AA278" s="42">
        <v>0</v>
      </c>
      <c r="AB278" s="284" t="s">
        <v>268</v>
      </c>
    </row>
    <row r="279" spans="1:28" s="20" customFormat="1" x14ac:dyDescent="0.3">
      <c r="A279" s="38">
        <v>44838</v>
      </c>
      <c r="B279" s="39">
        <v>7.5</v>
      </c>
      <c r="C279" s="14">
        <v>14.8</v>
      </c>
      <c r="D279" s="14">
        <v>5.2</v>
      </c>
      <c r="E279" s="14">
        <v>16.3</v>
      </c>
      <c r="F279" s="14">
        <v>3.6</v>
      </c>
      <c r="G279" s="65">
        <f t="shared" si="23"/>
        <v>12.700000000000001</v>
      </c>
      <c r="H279" s="65">
        <f t="shared" si="24"/>
        <v>8.1750000000000007</v>
      </c>
      <c r="I279" s="67">
        <v>9.5636111111111006</v>
      </c>
      <c r="J279" s="14">
        <v>11.7</v>
      </c>
      <c r="K279" s="14">
        <v>2.8</v>
      </c>
      <c r="L279" s="67">
        <v>7.7682638888888684</v>
      </c>
      <c r="M279" s="73">
        <v>98.8</v>
      </c>
      <c r="N279" s="24">
        <v>67.3</v>
      </c>
      <c r="O279" s="69">
        <v>89.145833333333329</v>
      </c>
      <c r="P279" s="102">
        <v>1025.66828910609</v>
      </c>
      <c r="Q279" s="21">
        <v>1015.27360892896</v>
      </c>
      <c r="R279" s="56">
        <v>1019.0131213301178</v>
      </c>
      <c r="S279" s="62">
        <v>6.5000000052000004</v>
      </c>
      <c r="T279" s="52">
        <v>3.843333336408</v>
      </c>
      <c r="U279" s="19">
        <v>0.68690997621862238</v>
      </c>
      <c r="V279" s="192" t="s">
        <v>215</v>
      </c>
      <c r="W279" s="194" t="s">
        <v>210</v>
      </c>
      <c r="X279" s="16">
        <v>6</v>
      </c>
      <c r="Y279" s="17">
        <v>0.1</v>
      </c>
      <c r="Z279" s="18">
        <v>0</v>
      </c>
      <c r="AA279" s="42">
        <v>0</v>
      </c>
      <c r="AB279" s="284" t="s">
        <v>282</v>
      </c>
    </row>
    <row r="280" spans="1:28" s="20" customFormat="1" x14ac:dyDescent="0.3">
      <c r="A280" s="38">
        <v>44839</v>
      </c>
      <c r="B280" s="39">
        <v>3.8</v>
      </c>
      <c r="C280" s="14">
        <v>13.8</v>
      </c>
      <c r="D280" s="14">
        <v>8.1999999999999993</v>
      </c>
      <c r="E280" s="14">
        <v>14.7</v>
      </c>
      <c r="F280" s="14">
        <v>2.7</v>
      </c>
      <c r="G280" s="54">
        <f t="shared" si="23"/>
        <v>12</v>
      </c>
      <c r="H280" s="54">
        <f t="shared" si="24"/>
        <v>8.5</v>
      </c>
      <c r="I280" s="67">
        <v>8.1286805555555794</v>
      </c>
      <c r="J280" s="14">
        <v>11</v>
      </c>
      <c r="K280" s="14">
        <v>2</v>
      </c>
      <c r="L280" s="67">
        <v>6.6588888888888551</v>
      </c>
      <c r="M280" s="73">
        <v>98.5</v>
      </c>
      <c r="N280" s="24">
        <v>74.400000000000006</v>
      </c>
      <c r="O280" s="69">
        <v>90.937291666666766</v>
      </c>
      <c r="P280" s="102">
        <v>1027.9299459614699</v>
      </c>
      <c r="Q280" s="21">
        <v>1025.03366272522</v>
      </c>
      <c r="R280" s="56">
        <v>1026.3598218017796</v>
      </c>
      <c r="S280" s="61">
        <v>7.8000000062400003</v>
      </c>
      <c r="T280" s="51">
        <v>4.2133333367040002</v>
      </c>
      <c r="U280" s="25">
        <v>0.98125000078499791</v>
      </c>
      <c r="V280" s="192" t="s">
        <v>213</v>
      </c>
      <c r="W280" s="194"/>
      <c r="X280" s="16">
        <v>0</v>
      </c>
      <c r="Y280" s="17">
        <v>0</v>
      </c>
      <c r="Z280" s="18">
        <v>0</v>
      </c>
      <c r="AA280" s="42">
        <v>0</v>
      </c>
      <c r="AB280" s="284" t="s">
        <v>433</v>
      </c>
    </row>
    <row r="281" spans="1:28" s="20" customFormat="1" x14ac:dyDescent="0.3">
      <c r="A281" s="38">
        <v>44840</v>
      </c>
      <c r="B281" s="39">
        <v>6.4</v>
      </c>
      <c r="C281" s="14">
        <v>17.3</v>
      </c>
      <c r="D281" s="14">
        <v>9.8000000000000007</v>
      </c>
      <c r="E281" s="14">
        <v>17.399999999999999</v>
      </c>
      <c r="F281" s="14">
        <v>4.7</v>
      </c>
      <c r="G281" s="54">
        <f t="shared" si="23"/>
        <v>12.7</v>
      </c>
      <c r="H281" s="54">
        <f t="shared" si="24"/>
        <v>10.825000000000001</v>
      </c>
      <c r="I281" s="67">
        <v>10.556319444444453</v>
      </c>
      <c r="J281" s="14">
        <v>13.5</v>
      </c>
      <c r="K281" s="14">
        <v>4.0999999999999996</v>
      </c>
      <c r="L281" s="67">
        <v>9.0738194444444638</v>
      </c>
      <c r="M281" s="73">
        <v>98.6</v>
      </c>
      <c r="N281" s="24">
        <v>73.3</v>
      </c>
      <c r="O281" s="69">
        <v>91.029930555555524</v>
      </c>
      <c r="P281" s="102">
        <v>1031.1575737649</v>
      </c>
      <c r="Q281" s="21">
        <v>1025.9711550550201</v>
      </c>
      <c r="R281" s="56">
        <v>1028.1032038063174</v>
      </c>
      <c r="S281" s="61">
        <v>3.1000000024799998</v>
      </c>
      <c r="T281" s="51">
        <v>1.8733333348319998</v>
      </c>
      <c r="U281" s="25">
        <v>0.47265606207973804</v>
      </c>
      <c r="V281" s="192" t="s">
        <v>213</v>
      </c>
      <c r="W281" s="194"/>
      <c r="X281" s="16">
        <v>0</v>
      </c>
      <c r="Y281" s="17">
        <v>0</v>
      </c>
      <c r="Z281" s="18">
        <v>0</v>
      </c>
      <c r="AA281" s="42">
        <v>0</v>
      </c>
      <c r="AB281" s="284" t="s">
        <v>440</v>
      </c>
    </row>
    <row r="282" spans="1:28" s="20" customFormat="1" x14ac:dyDescent="0.3">
      <c r="A282" s="38">
        <v>44841</v>
      </c>
      <c r="B282" s="39">
        <v>8.1</v>
      </c>
      <c r="C282" s="14">
        <v>20.9</v>
      </c>
      <c r="D282" s="14">
        <v>10.1</v>
      </c>
      <c r="E282" s="14">
        <v>21.4</v>
      </c>
      <c r="F282" s="14">
        <v>7.6</v>
      </c>
      <c r="G282" s="54">
        <f t="shared" si="23"/>
        <v>13.799999999999999</v>
      </c>
      <c r="H282" s="54">
        <f t="shared" si="24"/>
        <v>12.3</v>
      </c>
      <c r="I282" s="67">
        <v>12.763750000000025</v>
      </c>
      <c r="J282" s="14">
        <v>15.8</v>
      </c>
      <c r="K282" s="14">
        <v>7.2</v>
      </c>
      <c r="L282" s="67">
        <v>10.660069444444431</v>
      </c>
      <c r="M282" s="73">
        <v>98.6</v>
      </c>
      <c r="N282" s="24">
        <v>63.9</v>
      </c>
      <c r="O282" s="69">
        <v>88.164861111111065</v>
      </c>
      <c r="P282" s="102">
        <v>1031.1660714259799</v>
      </c>
      <c r="Q282" s="21">
        <v>1023.56531716885</v>
      </c>
      <c r="R282" s="56">
        <v>1027.5098462164876</v>
      </c>
      <c r="S282" s="61">
        <v>3.1000000024799998</v>
      </c>
      <c r="T282" s="51">
        <v>2.2966666685040003</v>
      </c>
      <c r="U282" s="25">
        <v>0.32533188536767776</v>
      </c>
      <c r="V282" s="192" t="s">
        <v>213</v>
      </c>
      <c r="W282" s="194"/>
      <c r="X282" s="16">
        <v>0</v>
      </c>
      <c r="Y282" s="17">
        <v>0</v>
      </c>
      <c r="Z282" s="18">
        <v>0</v>
      </c>
      <c r="AA282" s="42">
        <v>0</v>
      </c>
      <c r="AB282" s="284" t="s">
        <v>381</v>
      </c>
    </row>
    <row r="283" spans="1:28" s="20" customFormat="1" x14ac:dyDescent="0.3">
      <c r="A283" s="38">
        <v>44842</v>
      </c>
      <c r="B283" s="39">
        <v>8.1</v>
      </c>
      <c r="C283" s="14">
        <v>20.5</v>
      </c>
      <c r="D283" s="14">
        <v>10.8</v>
      </c>
      <c r="E283" s="14">
        <v>21</v>
      </c>
      <c r="F283" s="14">
        <v>6</v>
      </c>
      <c r="G283" s="54">
        <f t="shared" si="23"/>
        <v>15</v>
      </c>
      <c r="H283" s="54">
        <f t="shared" si="24"/>
        <v>12.55</v>
      </c>
      <c r="I283" s="67">
        <v>12.634166666666614</v>
      </c>
      <c r="J283" s="14">
        <v>14.7</v>
      </c>
      <c r="K283" s="14">
        <v>5.5</v>
      </c>
      <c r="L283" s="67">
        <v>10.053611111111094</v>
      </c>
      <c r="M283" s="73">
        <v>99.7</v>
      </c>
      <c r="N283" s="24">
        <v>59.3</v>
      </c>
      <c r="O283" s="69">
        <v>85.773194444444442</v>
      </c>
      <c r="P283" s="102">
        <v>1023.9150376072</v>
      </c>
      <c r="Q283" s="21">
        <v>1016.63233078515</v>
      </c>
      <c r="R283" s="56">
        <v>1020.1247390327593</v>
      </c>
      <c r="S283" s="61">
        <v>7.8000000062400003</v>
      </c>
      <c r="T283" s="51">
        <v>4.7600000038079999</v>
      </c>
      <c r="U283" s="25">
        <v>1.3082730352965013</v>
      </c>
      <c r="V283" s="192" t="s">
        <v>213</v>
      </c>
      <c r="W283" s="194"/>
      <c r="X283" s="16">
        <v>0</v>
      </c>
      <c r="Y283" s="17">
        <v>0</v>
      </c>
      <c r="Z283" s="18">
        <v>0</v>
      </c>
      <c r="AA283" s="42">
        <v>0</v>
      </c>
      <c r="AB283" s="284" t="s">
        <v>320</v>
      </c>
    </row>
    <row r="284" spans="1:28" s="20" customFormat="1" x14ac:dyDescent="0.3">
      <c r="A284" s="38">
        <v>44843</v>
      </c>
      <c r="B284" s="39">
        <v>9.6</v>
      </c>
      <c r="C284" s="14">
        <v>16.899999999999999</v>
      </c>
      <c r="D284" s="14">
        <v>4.9000000000000004</v>
      </c>
      <c r="E284" s="14">
        <v>18.2</v>
      </c>
      <c r="F284" s="14">
        <v>3</v>
      </c>
      <c r="G284" s="54">
        <f t="shared" si="23"/>
        <v>15.2</v>
      </c>
      <c r="H284" s="54">
        <f t="shared" si="24"/>
        <v>9.0749999999999993</v>
      </c>
      <c r="I284" s="67">
        <v>10.965486111111124</v>
      </c>
      <c r="J284" s="14">
        <v>12</v>
      </c>
      <c r="K284" s="14">
        <v>1.9</v>
      </c>
      <c r="L284" s="67">
        <v>7.4199305555555544</v>
      </c>
      <c r="M284" s="73">
        <v>98.2</v>
      </c>
      <c r="N284" s="24">
        <v>51.9</v>
      </c>
      <c r="O284" s="69">
        <v>80.609583333333433</v>
      </c>
      <c r="P284" s="102">
        <v>1028.19325236291</v>
      </c>
      <c r="Q284" s="21">
        <v>1020.10241852672</v>
      </c>
      <c r="R284" s="56">
        <v>1024.121535420142</v>
      </c>
      <c r="S284" s="61">
        <v>7.5000000059999996</v>
      </c>
      <c r="T284" s="51">
        <v>4.4633333369040002</v>
      </c>
      <c r="U284" s="25">
        <v>1.1982164386544087</v>
      </c>
      <c r="V284" s="192" t="s">
        <v>215</v>
      </c>
      <c r="W284" s="194"/>
      <c r="X284" s="16">
        <v>0</v>
      </c>
      <c r="Y284" s="17">
        <v>0</v>
      </c>
      <c r="Z284" s="18">
        <v>0</v>
      </c>
      <c r="AA284" s="42">
        <v>0</v>
      </c>
      <c r="AB284" s="284" t="s">
        <v>441</v>
      </c>
    </row>
    <row r="285" spans="1:28" s="20" customFormat="1" x14ac:dyDescent="0.3">
      <c r="A285" s="38">
        <v>44844</v>
      </c>
      <c r="B285" s="39">
        <v>1.5</v>
      </c>
      <c r="C285" s="14">
        <v>17.399999999999999</v>
      </c>
      <c r="D285" s="14">
        <v>4.8</v>
      </c>
      <c r="E285" s="14">
        <v>18.399999999999999</v>
      </c>
      <c r="F285" s="14">
        <v>0.7</v>
      </c>
      <c r="G285" s="54">
        <f t="shared" si="23"/>
        <v>17.7</v>
      </c>
      <c r="H285" s="54">
        <f t="shared" si="24"/>
        <v>7.125</v>
      </c>
      <c r="I285" s="67">
        <v>7.4159722222222175</v>
      </c>
      <c r="J285" s="14">
        <v>11.8</v>
      </c>
      <c r="K285" s="14">
        <v>-0.1</v>
      </c>
      <c r="L285" s="67">
        <v>4.3187499999999899</v>
      </c>
      <c r="M285" s="73">
        <v>97.2</v>
      </c>
      <c r="N285" s="24">
        <v>50.9</v>
      </c>
      <c r="O285" s="69">
        <v>82.886250000000246</v>
      </c>
      <c r="P285" s="102">
        <v>1028.6948960201901</v>
      </c>
      <c r="Q285" s="21">
        <v>1021.39701199733</v>
      </c>
      <c r="R285" s="56">
        <v>1024.9632028530043</v>
      </c>
      <c r="S285" s="61">
        <v>7.1000000056800001</v>
      </c>
      <c r="T285" s="51">
        <v>3.4366666694159997</v>
      </c>
      <c r="U285" s="25">
        <v>0.64419975984146705</v>
      </c>
      <c r="V285" s="192" t="s">
        <v>213</v>
      </c>
      <c r="W285" s="194"/>
      <c r="X285" s="16">
        <v>0</v>
      </c>
      <c r="Y285" s="17">
        <v>0</v>
      </c>
      <c r="Z285" s="18">
        <v>0</v>
      </c>
      <c r="AA285" s="42">
        <v>0</v>
      </c>
      <c r="AB285" s="284" t="s">
        <v>442</v>
      </c>
    </row>
    <row r="286" spans="1:28" s="20" customFormat="1" x14ac:dyDescent="0.3">
      <c r="A286" s="38">
        <v>44845</v>
      </c>
      <c r="B286" s="39">
        <v>4.2</v>
      </c>
      <c r="C286" s="14">
        <v>16.399999999999999</v>
      </c>
      <c r="D286" s="14">
        <v>12.1</v>
      </c>
      <c r="E286" s="14">
        <v>16.5</v>
      </c>
      <c r="F286" s="14">
        <v>2.8</v>
      </c>
      <c r="G286" s="54">
        <f t="shared" si="23"/>
        <v>13.7</v>
      </c>
      <c r="H286" s="54">
        <f t="shared" si="24"/>
        <v>11.2</v>
      </c>
      <c r="I286" s="67">
        <v>9.6265972222222249</v>
      </c>
      <c r="J286" s="14">
        <v>12.6</v>
      </c>
      <c r="K286" s="14">
        <v>1.8</v>
      </c>
      <c r="L286" s="67">
        <v>7.4623611111111323</v>
      </c>
      <c r="M286" s="73">
        <v>96.9</v>
      </c>
      <c r="N286" s="24">
        <v>67.3</v>
      </c>
      <c r="O286" s="69">
        <v>87.017708333333289</v>
      </c>
      <c r="P286" s="102">
        <v>1025.2809928965501</v>
      </c>
      <c r="Q286" s="21">
        <v>1021.77159375647</v>
      </c>
      <c r="R286" s="56">
        <v>1022.8673581563111</v>
      </c>
      <c r="S286" s="61">
        <v>2.7000000021599999</v>
      </c>
      <c r="T286" s="51">
        <v>1.65000000132</v>
      </c>
      <c r="U286" s="25">
        <v>0.35373459056580397</v>
      </c>
      <c r="V286" s="192" t="s">
        <v>215</v>
      </c>
      <c r="W286" s="194"/>
      <c r="X286" s="16">
        <v>0</v>
      </c>
      <c r="Y286" s="17">
        <v>0</v>
      </c>
      <c r="Z286" s="18">
        <v>0</v>
      </c>
      <c r="AA286" s="42">
        <v>0</v>
      </c>
      <c r="AB286" s="284" t="s">
        <v>231</v>
      </c>
    </row>
    <row r="287" spans="1:28" s="20" customFormat="1" ht="57.6" x14ac:dyDescent="0.3">
      <c r="A287" s="38">
        <v>44846</v>
      </c>
      <c r="B287" s="39">
        <v>3.2</v>
      </c>
      <c r="C287" s="14">
        <v>16.600000000000001</v>
      </c>
      <c r="D287" s="14">
        <v>5</v>
      </c>
      <c r="E287" s="14">
        <v>17.7</v>
      </c>
      <c r="F287" s="14">
        <v>2.9</v>
      </c>
      <c r="G287" s="54">
        <f t="shared" si="23"/>
        <v>14.799999999999999</v>
      </c>
      <c r="H287" s="54">
        <f t="shared" si="24"/>
        <v>7.45</v>
      </c>
      <c r="I287" s="67">
        <v>9.2306944444444579</v>
      </c>
      <c r="J287" s="14">
        <v>10.7</v>
      </c>
      <c r="K287" s="14">
        <v>1.8</v>
      </c>
      <c r="L287" s="67">
        <v>5.7207638888888948</v>
      </c>
      <c r="M287" s="73">
        <v>97.3</v>
      </c>
      <c r="N287" s="24">
        <v>50</v>
      </c>
      <c r="O287" s="69">
        <v>80.597847222222256</v>
      </c>
      <c r="P287" s="102">
        <v>1026.82108585993</v>
      </c>
      <c r="Q287" s="21">
        <v>1023.77461330041</v>
      </c>
      <c r="R287" s="56">
        <v>1025.3082181208435</v>
      </c>
      <c r="S287" s="61">
        <v>5.4000000043199998</v>
      </c>
      <c r="T287" s="51">
        <v>3.2600000026080003</v>
      </c>
      <c r="U287" s="25">
        <v>0.71033237051046028</v>
      </c>
      <c r="V287" s="192" t="s">
        <v>215</v>
      </c>
      <c r="W287" s="194"/>
      <c r="X287" s="16">
        <v>0</v>
      </c>
      <c r="Y287" s="17">
        <v>0</v>
      </c>
      <c r="Z287" s="18">
        <v>0</v>
      </c>
      <c r="AA287" s="42">
        <v>0</v>
      </c>
      <c r="AB287" s="284" t="s">
        <v>443</v>
      </c>
    </row>
    <row r="288" spans="1:28" s="20" customFormat="1" x14ac:dyDescent="0.3">
      <c r="A288" s="38">
        <v>44847</v>
      </c>
      <c r="B288" s="39">
        <v>-0.3</v>
      </c>
      <c r="C288" s="14">
        <v>18.100000000000001</v>
      </c>
      <c r="D288" s="14">
        <v>5.6</v>
      </c>
      <c r="E288" s="14">
        <v>19</v>
      </c>
      <c r="F288" s="14">
        <v>-0.6</v>
      </c>
      <c r="G288" s="54">
        <f t="shared" si="23"/>
        <v>19.600000000000001</v>
      </c>
      <c r="H288" s="54">
        <f t="shared" si="24"/>
        <v>7.25</v>
      </c>
      <c r="I288" s="67">
        <v>7.5119444444444285</v>
      </c>
      <c r="J288" s="14">
        <v>11.2</v>
      </c>
      <c r="K288" s="14">
        <v>-1.5</v>
      </c>
      <c r="L288" s="67">
        <v>4.5943750000000056</v>
      </c>
      <c r="M288" s="73">
        <v>96.6</v>
      </c>
      <c r="N288" s="24">
        <v>52.2</v>
      </c>
      <c r="O288" s="69">
        <v>83.485833333333332</v>
      </c>
      <c r="P288" s="102">
        <v>1026.2595218332899</v>
      </c>
      <c r="Q288" s="21">
        <v>1019.87436073017</v>
      </c>
      <c r="R288" s="56">
        <v>1022.9929472979644</v>
      </c>
      <c r="S288" s="61">
        <v>2.4000000019200001</v>
      </c>
      <c r="T288" s="51">
        <v>1.3733333344320005</v>
      </c>
      <c r="U288" s="25">
        <v>0.35993961381452494</v>
      </c>
      <c r="V288" s="192" t="s">
        <v>213</v>
      </c>
      <c r="W288" s="195"/>
      <c r="X288" s="26">
        <v>0</v>
      </c>
      <c r="Y288" s="27">
        <v>0</v>
      </c>
      <c r="Z288" s="28">
        <v>0</v>
      </c>
      <c r="AA288" s="29">
        <v>0</v>
      </c>
      <c r="AB288" s="285" t="s">
        <v>441</v>
      </c>
    </row>
    <row r="289" spans="1:28" s="20" customFormat="1" x14ac:dyDescent="0.3">
      <c r="A289" s="38">
        <v>44848</v>
      </c>
      <c r="B289" s="39">
        <v>4.7</v>
      </c>
      <c r="C289" s="14">
        <v>16.399999999999999</v>
      </c>
      <c r="D289" s="14">
        <v>9.8000000000000007</v>
      </c>
      <c r="E289" s="14">
        <v>17.399999999999999</v>
      </c>
      <c r="F289" s="14">
        <v>3.6</v>
      </c>
      <c r="G289" s="54">
        <f t="shared" si="23"/>
        <v>13.799999999999999</v>
      </c>
      <c r="H289" s="54">
        <f t="shared" si="24"/>
        <v>10.175000000000001</v>
      </c>
      <c r="I289" s="67">
        <v>9.3418055555555153</v>
      </c>
      <c r="J289" s="14">
        <v>13.2</v>
      </c>
      <c r="K289" s="14">
        <v>2.7</v>
      </c>
      <c r="L289" s="67">
        <v>7.5008333333333184</v>
      </c>
      <c r="M289" s="73">
        <v>96.9</v>
      </c>
      <c r="N289" s="24">
        <v>70.7</v>
      </c>
      <c r="O289" s="69">
        <v>88.992152777777505</v>
      </c>
      <c r="P289" s="102">
        <v>1021.57216974065</v>
      </c>
      <c r="Q289" s="21">
        <v>1016.7446071112</v>
      </c>
      <c r="R289" s="56">
        <v>1019.2196438260734</v>
      </c>
      <c r="S289" s="61">
        <v>5.10000000408</v>
      </c>
      <c r="T289" s="51">
        <v>3.4733333361120002</v>
      </c>
      <c r="U289" s="25">
        <v>0.55421773656449047</v>
      </c>
      <c r="V289" s="192" t="s">
        <v>213</v>
      </c>
      <c r="W289" s="195"/>
      <c r="X289" s="26">
        <v>0</v>
      </c>
      <c r="Y289" s="27">
        <v>0</v>
      </c>
      <c r="Z289" s="28">
        <v>0</v>
      </c>
      <c r="AA289" s="29">
        <v>0</v>
      </c>
      <c r="AB289" s="285" t="s">
        <v>274</v>
      </c>
    </row>
    <row r="290" spans="1:28" s="20" customFormat="1" x14ac:dyDescent="0.3">
      <c r="A290" s="38">
        <v>44849</v>
      </c>
      <c r="B290" s="39">
        <v>8.6999999999999993</v>
      </c>
      <c r="C290" s="14">
        <v>15.7</v>
      </c>
      <c r="D290" s="14">
        <v>13.4</v>
      </c>
      <c r="E290" s="14">
        <v>16.7</v>
      </c>
      <c r="F290" s="14">
        <v>8.1999999999999993</v>
      </c>
      <c r="G290" s="54">
        <f t="shared" si="23"/>
        <v>8.5</v>
      </c>
      <c r="H290" s="54">
        <f t="shared" si="24"/>
        <v>12.8</v>
      </c>
      <c r="I290" s="67">
        <v>12.123472222222196</v>
      </c>
      <c r="J290" s="14">
        <v>13</v>
      </c>
      <c r="K290" s="14">
        <v>7.5</v>
      </c>
      <c r="L290" s="67">
        <v>10.22763888888892</v>
      </c>
      <c r="M290" s="73">
        <v>97.6</v>
      </c>
      <c r="N290" s="24">
        <v>74.900000000000006</v>
      </c>
      <c r="O290" s="69">
        <v>88.615416666666661</v>
      </c>
      <c r="P290" s="102">
        <v>1019.90652155924</v>
      </c>
      <c r="Q290" s="21">
        <v>1016.96349755037</v>
      </c>
      <c r="R290" s="56">
        <v>1017.9628666277732</v>
      </c>
      <c r="S290" s="61">
        <v>8.2000000065599998</v>
      </c>
      <c r="T290" s="51">
        <v>5.2900000042319997</v>
      </c>
      <c r="U290" s="25">
        <v>1.9730658005661583</v>
      </c>
      <c r="V290" s="192" t="s">
        <v>211</v>
      </c>
      <c r="W290" s="195"/>
      <c r="X290" s="26">
        <v>0</v>
      </c>
      <c r="Y290" s="27">
        <v>0</v>
      </c>
      <c r="Z290" s="28">
        <v>0</v>
      </c>
      <c r="AA290" s="29">
        <v>0</v>
      </c>
      <c r="AB290" s="285" t="s">
        <v>433</v>
      </c>
    </row>
    <row r="291" spans="1:28" s="20" customFormat="1" x14ac:dyDescent="0.3">
      <c r="A291" s="38">
        <v>44850</v>
      </c>
      <c r="B291" s="39">
        <v>9.1</v>
      </c>
      <c r="C291" s="14">
        <v>18.7</v>
      </c>
      <c r="D291" s="14">
        <v>9.4</v>
      </c>
      <c r="E291" s="14">
        <v>19</v>
      </c>
      <c r="F291" s="14">
        <v>7.5</v>
      </c>
      <c r="G291" s="54">
        <f t="shared" si="23"/>
        <v>11.5</v>
      </c>
      <c r="H291" s="54">
        <f t="shared" si="24"/>
        <v>11.649999999999999</v>
      </c>
      <c r="I291" s="67">
        <v>12.404690618762471</v>
      </c>
      <c r="J291" s="14">
        <v>12.7</v>
      </c>
      <c r="K291" s="14">
        <v>6.5</v>
      </c>
      <c r="L291" s="67">
        <v>9.2819361277445136</v>
      </c>
      <c r="M291" s="73">
        <v>96.1</v>
      </c>
      <c r="N291" s="24">
        <v>61.4</v>
      </c>
      <c r="O291" s="69">
        <v>82.504990019960189</v>
      </c>
      <c r="P291" s="102">
        <v>1028.8202126712899</v>
      </c>
      <c r="Q291" s="21">
        <v>1019.6323416174999</v>
      </c>
      <c r="R291" s="56">
        <v>1023.5684751698393</v>
      </c>
      <c r="S291" s="61">
        <v>7.8000000062400003</v>
      </c>
      <c r="T291" s="51">
        <v>4.9883333373239997</v>
      </c>
      <c r="U291" s="25">
        <v>1.3597596514883961</v>
      </c>
      <c r="V291" s="192" t="s">
        <v>211</v>
      </c>
      <c r="W291" s="195"/>
      <c r="X291" s="26">
        <v>0</v>
      </c>
      <c r="Y291" s="27">
        <v>0</v>
      </c>
      <c r="Z291" s="28">
        <v>0</v>
      </c>
      <c r="AA291" s="29">
        <v>0</v>
      </c>
      <c r="AB291" s="285" t="s">
        <v>440</v>
      </c>
    </row>
    <row r="292" spans="1:28" s="20" customFormat="1" x14ac:dyDescent="0.3">
      <c r="A292" s="38">
        <v>44851</v>
      </c>
      <c r="B292" s="39">
        <v>5.6</v>
      </c>
      <c r="C292" s="14">
        <v>19.3</v>
      </c>
      <c r="D292" s="14">
        <v>8.5</v>
      </c>
      <c r="E292" s="14">
        <v>19.7</v>
      </c>
      <c r="F292" s="14">
        <v>4.5999999999999996</v>
      </c>
      <c r="G292" s="54">
        <f t="shared" si="23"/>
        <v>15.1</v>
      </c>
      <c r="H292" s="54">
        <f t="shared" si="24"/>
        <v>10.475</v>
      </c>
      <c r="I292" s="67">
        <v>10.537916666666668</v>
      </c>
      <c r="J292" s="14">
        <v>14.5</v>
      </c>
      <c r="K292" s="14">
        <v>3.8</v>
      </c>
      <c r="L292" s="67">
        <v>8.2502083333332994</v>
      </c>
      <c r="M292" s="73">
        <v>97</v>
      </c>
      <c r="N292" s="24">
        <v>63.9</v>
      </c>
      <c r="O292" s="69">
        <v>86.860277777777881</v>
      </c>
      <c r="P292" s="102">
        <v>1032.46344798421</v>
      </c>
      <c r="Q292" s="21">
        <v>1028.6154723304601</v>
      </c>
      <c r="R292" s="56">
        <v>1030.6974542843079</v>
      </c>
      <c r="S292" s="61">
        <v>4.8000000038400001</v>
      </c>
      <c r="T292" s="51">
        <v>2.7050000021639997</v>
      </c>
      <c r="U292" s="25">
        <v>0.57857832534820397</v>
      </c>
      <c r="V292" s="192" t="s">
        <v>213</v>
      </c>
      <c r="W292" s="195"/>
      <c r="X292" s="26">
        <v>0</v>
      </c>
      <c r="Y292" s="27">
        <v>0</v>
      </c>
      <c r="Z292" s="28">
        <v>0</v>
      </c>
      <c r="AA292" s="29">
        <v>0</v>
      </c>
      <c r="AB292" s="285" t="s">
        <v>441</v>
      </c>
    </row>
    <row r="293" spans="1:28" s="20" customFormat="1" x14ac:dyDescent="0.3">
      <c r="A293" s="38">
        <v>44852</v>
      </c>
      <c r="B293" s="39">
        <v>5.3</v>
      </c>
      <c r="C293" s="14">
        <v>19.7</v>
      </c>
      <c r="D293" s="14">
        <v>9.1999999999999993</v>
      </c>
      <c r="E293" s="14">
        <v>20.100000000000001</v>
      </c>
      <c r="F293" s="14">
        <v>5.0999999999999996</v>
      </c>
      <c r="G293" s="54">
        <f t="shared" si="23"/>
        <v>15.000000000000002</v>
      </c>
      <c r="H293" s="54">
        <f t="shared" si="24"/>
        <v>10.85</v>
      </c>
      <c r="I293" s="67">
        <v>11.176388888888876</v>
      </c>
      <c r="J293" s="14">
        <v>14.7</v>
      </c>
      <c r="K293" s="14">
        <v>4.5</v>
      </c>
      <c r="L293" s="67">
        <v>8.4765972222222121</v>
      </c>
      <c r="M293" s="73">
        <v>98.3</v>
      </c>
      <c r="N293" s="24">
        <v>59.4</v>
      </c>
      <c r="O293" s="69">
        <v>84.977013888889047</v>
      </c>
      <c r="P293" s="102">
        <v>1031.7397045374801</v>
      </c>
      <c r="Q293" s="21">
        <v>1021.72363254476</v>
      </c>
      <c r="R293" s="56">
        <v>1026.5597469524944</v>
      </c>
      <c r="S293" s="61">
        <v>8.5000000068000006</v>
      </c>
      <c r="T293" s="51">
        <v>4.8633333372240006</v>
      </c>
      <c r="U293" s="25">
        <v>1.0038043486291315</v>
      </c>
      <c r="V293" s="192" t="s">
        <v>211</v>
      </c>
      <c r="W293" s="195" t="s">
        <v>210</v>
      </c>
      <c r="X293" s="26">
        <v>24</v>
      </c>
      <c r="Y293" s="27">
        <v>3.9</v>
      </c>
      <c r="Z293" s="28">
        <v>0</v>
      </c>
      <c r="AA293" s="29">
        <v>0</v>
      </c>
      <c r="AB293" s="285" t="s">
        <v>381</v>
      </c>
    </row>
    <row r="294" spans="1:28" s="20" customFormat="1" x14ac:dyDescent="0.3">
      <c r="A294" s="38">
        <v>44853</v>
      </c>
      <c r="B294" s="39">
        <v>9</v>
      </c>
      <c r="C294" s="14">
        <v>17.100000000000001</v>
      </c>
      <c r="D294" s="14">
        <v>9.4</v>
      </c>
      <c r="E294" s="14">
        <v>18.2</v>
      </c>
      <c r="F294" s="14">
        <v>7.7</v>
      </c>
      <c r="G294" s="54">
        <f t="shared" si="23"/>
        <v>10.5</v>
      </c>
      <c r="H294" s="54">
        <f t="shared" si="24"/>
        <v>11.225000000000001</v>
      </c>
      <c r="I294" s="67">
        <v>11.519652777777784</v>
      </c>
      <c r="J294" s="14">
        <v>14.3</v>
      </c>
      <c r="K294" s="14">
        <v>5.6</v>
      </c>
      <c r="L294" s="67">
        <v>8.6388888888889124</v>
      </c>
      <c r="M294" s="73">
        <v>98.3</v>
      </c>
      <c r="N294" s="24">
        <v>58.9</v>
      </c>
      <c r="O294" s="69">
        <v>83.548958333333175</v>
      </c>
      <c r="P294" s="102">
        <v>1024.4012611052401</v>
      </c>
      <c r="Q294" s="21">
        <v>1019.82671856437</v>
      </c>
      <c r="R294" s="56">
        <v>1021.7111306025603</v>
      </c>
      <c r="S294" s="61">
        <v>11.20000000896</v>
      </c>
      <c r="T294" s="51">
        <v>6.7566666720720008</v>
      </c>
      <c r="U294" s="25">
        <v>1.5021996627922822</v>
      </c>
      <c r="V294" s="192" t="s">
        <v>215</v>
      </c>
      <c r="W294" s="195" t="s">
        <v>210</v>
      </c>
      <c r="X294" s="26">
        <v>6</v>
      </c>
      <c r="Y294" s="27">
        <v>0.3</v>
      </c>
      <c r="Z294" s="28">
        <v>0</v>
      </c>
      <c r="AA294" s="29">
        <v>0</v>
      </c>
      <c r="AB294" s="285" t="s">
        <v>435</v>
      </c>
    </row>
    <row r="295" spans="1:28" s="20" customFormat="1" x14ac:dyDescent="0.3">
      <c r="A295" s="38">
        <v>44854</v>
      </c>
      <c r="B295" s="39">
        <v>2.6</v>
      </c>
      <c r="C295" s="14">
        <v>12.6</v>
      </c>
      <c r="D295" s="14">
        <v>0.5</v>
      </c>
      <c r="E295" s="14">
        <v>13.3</v>
      </c>
      <c r="F295" s="14">
        <v>-1.1000000000000001</v>
      </c>
      <c r="G295" s="54">
        <f t="shared" si="23"/>
        <v>14.4</v>
      </c>
      <c r="H295" s="54">
        <f t="shared" si="24"/>
        <v>4.05</v>
      </c>
      <c r="I295" s="67">
        <v>6.0363888888888964</v>
      </c>
      <c r="J295" s="14">
        <v>7.7</v>
      </c>
      <c r="K295" s="14">
        <v>-2.2000000000000002</v>
      </c>
      <c r="L295" s="67">
        <v>2.7494444444444497</v>
      </c>
      <c r="M295" s="73">
        <v>95</v>
      </c>
      <c r="N295" s="24">
        <v>54.6</v>
      </c>
      <c r="O295" s="69">
        <v>80.73104166666684</v>
      </c>
      <c r="P295" s="102">
        <v>1028.2431707793501</v>
      </c>
      <c r="Q295" s="21">
        <v>1024.1965241688699</v>
      </c>
      <c r="R295" s="56">
        <v>1026.1579777381412</v>
      </c>
      <c r="S295" s="61">
        <v>6.5000000052000004</v>
      </c>
      <c r="T295" s="51">
        <v>3.6866666696160002</v>
      </c>
      <c r="U295" s="25">
        <v>1.0168470426605252</v>
      </c>
      <c r="V295" s="192" t="s">
        <v>213</v>
      </c>
      <c r="W295" s="195"/>
      <c r="X295" s="26">
        <v>0</v>
      </c>
      <c r="Y295" s="27">
        <v>0</v>
      </c>
      <c r="Z295" s="28">
        <v>0</v>
      </c>
      <c r="AA295" s="29">
        <v>0</v>
      </c>
      <c r="AB295" s="285" t="s">
        <v>444</v>
      </c>
    </row>
    <row r="296" spans="1:28" s="20" customFormat="1" x14ac:dyDescent="0.3">
      <c r="A296" s="38">
        <v>44855</v>
      </c>
      <c r="B296" s="39">
        <v>-1.4</v>
      </c>
      <c r="C296" s="14">
        <v>10.7</v>
      </c>
      <c r="D296" s="14">
        <v>10.7</v>
      </c>
      <c r="E296" s="14">
        <v>12.8</v>
      </c>
      <c r="F296" s="14">
        <v>-2.4</v>
      </c>
      <c r="G296" s="54">
        <f t="shared" si="23"/>
        <v>15.200000000000001</v>
      </c>
      <c r="H296" s="54">
        <f t="shared" si="24"/>
        <v>7.6749999999999989</v>
      </c>
      <c r="I296" s="67">
        <v>5.566111111111109</v>
      </c>
      <c r="J296" s="14">
        <v>5.6</v>
      </c>
      <c r="K296" s="14">
        <v>-3.4</v>
      </c>
      <c r="L296" s="67">
        <v>1.494375000000008</v>
      </c>
      <c r="M296" s="73">
        <v>97.4</v>
      </c>
      <c r="N296" s="24">
        <v>53</v>
      </c>
      <c r="O296" s="69">
        <v>77.027708333333351</v>
      </c>
      <c r="P296" s="102">
        <v>1026.4131069207101</v>
      </c>
      <c r="Q296" s="21">
        <v>1017.33783680062</v>
      </c>
      <c r="R296" s="56">
        <v>1021.9606446036298</v>
      </c>
      <c r="S296" s="61">
        <v>9.5000000076000006</v>
      </c>
      <c r="T296" s="51">
        <v>6.4466666718239996</v>
      </c>
      <c r="U296" s="25">
        <v>1.8953381657674762</v>
      </c>
      <c r="V296" s="192" t="s">
        <v>211</v>
      </c>
      <c r="W296" s="195"/>
      <c r="X296" s="26">
        <v>0</v>
      </c>
      <c r="Y296" s="27">
        <v>0</v>
      </c>
      <c r="Z296" s="28">
        <v>0</v>
      </c>
      <c r="AA296" s="29">
        <v>0</v>
      </c>
      <c r="AB296" s="285" t="s">
        <v>320</v>
      </c>
    </row>
    <row r="297" spans="1:28" s="20" customFormat="1" x14ac:dyDescent="0.3">
      <c r="A297" s="38">
        <v>44856</v>
      </c>
      <c r="B297" s="39">
        <v>4.5999999999999996</v>
      </c>
      <c r="C297" s="14">
        <v>12.9</v>
      </c>
      <c r="D297" s="14">
        <v>9.3000000000000007</v>
      </c>
      <c r="E297" s="14">
        <v>13.5</v>
      </c>
      <c r="F297" s="14">
        <v>4.3</v>
      </c>
      <c r="G297" s="54">
        <f t="shared" si="23"/>
        <v>9.1999999999999993</v>
      </c>
      <c r="H297" s="54">
        <f t="shared" si="24"/>
        <v>9.0250000000000004</v>
      </c>
      <c r="I297" s="67">
        <v>9.3894444444443828</v>
      </c>
      <c r="J297" s="14">
        <v>8.9</v>
      </c>
      <c r="K297" s="14">
        <v>2.9</v>
      </c>
      <c r="L297" s="67">
        <v>6.649097222222224</v>
      </c>
      <c r="M297" s="73">
        <v>95.3</v>
      </c>
      <c r="N297" s="24">
        <v>63.4</v>
      </c>
      <c r="O297" s="69">
        <v>83.584722222222126</v>
      </c>
      <c r="P297" s="102">
        <v>1017.78118220215</v>
      </c>
      <c r="Q297" s="21">
        <v>1015.04836460477</v>
      </c>
      <c r="R297" s="56">
        <v>1016.1319370394839</v>
      </c>
      <c r="S297" s="61">
        <v>7.8000000062400003</v>
      </c>
      <c r="T297" s="51">
        <v>3.7700000030160004</v>
      </c>
      <c r="U297" s="25">
        <v>0.77733234410120378</v>
      </c>
      <c r="V297" s="192" t="s">
        <v>213</v>
      </c>
      <c r="W297" s="195" t="s">
        <v>210</v>
      </c>
      <c r="X297" s="26">
        <v>6</v>
      </c>
      <c r="Y297" s="27">
        <v>4.5999999999999996</v>
      </c>
      <c r="Z297" s="28">
        <v>0</v>
      </c>
      <c r="AA297" s="29">
        <v>0</v>
      </c>
      <c r="AB297" s="285" t="s">
        <v>231</v>
      </c>
    </row>
    <row r="298" spans="1:28" s="20" customFormat="1" x14ac:dyDescent="0.3">
      <c r="A298" s="38">
        <v>44857</v>
      </c>
      <c r="B298" s="39">
        <v>7.4</v>
      </c>
      <c r="C298" s="14">
        <v>18.7</v>
      </c>
      <c r="D298" s="14">
        <v>11</v>
      </c>
      <c r="E298" s="14">
        <v>19.100000000000001</v>
      </c>
      <c r="F298" s="14">
        <v>7.3</v>
      </c>
      <c r="G298" s="54">
        <f t="shared" si="23"/>
        <v>11.8</v>
      </c>
      <c r="H298" s="54">
        <f t="shared" si="24"/>
        <v>12.025</v>
      </c>
      <c r="I298" s="67">
        <v>12.215555555555548</v>
      </c>
      <c r="J298" s="14">
        <v>14.5</v>
      </c>
      <c r="K298" s="14">
        <v>6.7</v>
      </c>
      <c r="L298" s="67">
        <v>10.063055555555565</v>
      </c>
      <c r="M298" s="73">
        <v>98</v>
      </c>
      <c r="N298" s="24">
        <v>61.8</v>
      </c>
      <c r="O298" s="69">
        <v>87.644513888888852</v>
      </c>
      <c r="P298" s="102">
        <v>1020.9821208089299</v>
      </c>
      <c r="Q298" s="21">
        <v>1016.29888666157</v>
      </c>
      <c r="R298" s="56">
        <v>1019.1578978064605</v>
      </c>
      <c r="S298" s="61">
        <v>7.8000000062400003</v>
      </c>
      <c r="T298" s="51">
        <v>4.9166666705999997</v>
      </c>
      <c r="U298" s="25">
        <v>1.5364671283716691</v>
      </c>
      <c r="V298" s="192" t="s">
        <v>211</v>
      </c>
      <c r="W298" s="195"/>
      <c r="X298" s="26">
        <v>0</v>
      </c>
      <c r="Y298" s="27">
        <v>0</v>
      </c>
      <c r="Z298" s="28">
        <v>0</v>
      </c>
      <c r="AA298" s="29">
        <v>0</v>
      </c>
      <c r="AB298" s="285" t="s">
        <v>274</v>
      </c>
    </row>
    <row r="299" spans="1:28" s="20" customFormat="1" x14ac:dyDescent="0.3">
      <c r="A299" s="38">
        <v>44858</v>
      </c>
      <c r="B299" s="39">
        <v>12</v>
      </c>
      <c r="C299" s="14">
        <v>15</v>
      </c>
      <c r="D299" s="14">
        <v>13.5</v>
      </c>
      <c r="E299" s="14">
        <v>17.5</v>
      </c>
      <c r="F299" s="14">
        <v>11.5</v>
      </c>
      <c r="G299" s="54">
        <f t="shared" si="23"/>
        <v>6</v>
      </c>
      <c r="H299" s="54">
        <f t="shared" si="24"/>
        <v>13.5</v>
      </c>
      <c r="I299" s="67">
        <v>13.427291666666694</v>
      </c>
      <c r="J299" s="14">
        <v>13.6</v>
      </c>
      <c r="K299" s="14">
        <v>10.7</v>
      </c>
      <c r="L299" s="67">
        <v>11.372569444444439</v>
      </c>
      <c r="M299" s="73">
        <v>95.5</v>
      </c>
      <c r="N299" s="24">
        <v>74.099999999999994</v>
      </c>
      <c r="O299" s="69">
        <v>87.626666666666679</v>
      </c>
      <c r="P299" s="102">
        <v>1019.9722443744899</v>
      </c>
      <c r="Q299" s="21">
        <v>1015.39592168081</v>
      </c>
      <c r="R299" s="56">
        <v>1017.6403773058988</v>
      </c>
      <c r="S299" s="61">
        <v>10.500000008400001</v>
      </c>
      <c r="T299" s="51">
        <v>5.0166666706800003</v>
      </c>
      <c r="U299" s="25">
        <v>2.2320325814111848</v>
      </c>
      <c r="V299" s="192" t="s">
        <v>211</v>
      </c>
      <c r="W299" s="195" t="s">
        <v>210</v>
      </c>
      <c r="X299" s="26">
        <v>6</v>
      </c>
      <c r="Y299" s="27">
        <v>2</v>
      </c>
      <c r="Z299" s="28">
        <v>0</v>
      </c>
      <c r="AA299" s="29">
        <v>0</v>
      </c>
      <c r="AB299" s="285" t="s">
        <v>445</v>
      </c>
    </row>
    <row r="300" spans="1:28" s="20" customFormat="1" x14ac:dyDescent="0.3">
      <c r="A300" s="38">
        <v>44859</v>
      </c>
      <c r="B300" s="39">
        <v>11.5</v>
      </c>
      <c r="C300" s="14">
        <v>18.2</v>
      </c>
      <c r="D300" s="14">
        <v>10.4</v>
      </c>
      <c r="E300" s="14">
        <v>19.100000000000001</v>
      </c>
      <c r="F300" s="14">
        <v>10.4</v>
      </c>
      <c r="G300" s="54">
        <f t="shared" si="23"/>
        <v>8.7000000000000011</v>
      </c>
      <c r="H300" s="54">
        <f t="shared" si="24"/>
        <v>12.625</v>
      </c>
      <c r="I300" s="67">
        <v>13.292083333333315</v>
      </c>
      <c r="J300" s="14">
        <v>15.5</v>
      </c>
      <c r="K300" s="14">
        <v>9.5</v>
      </c>
      <c r="L300" s="67">
        <v>11.857083333333374</v>
      </c>
      <c r="M300" s="73">
        <v>97</v>
      </c>
      <c r="N300" s="24">
        <v>71.599999999999994</v>
      </c>
      <c r="O300" s="69">
        <v>91.319166666666774</v>
      </c>
      <c r="P300" s="102">
        <v>1020.45688199601</v>
      </c>
      <c r="Q300" s="21">
        <v>1014.3356329849699</v>
      </c>
      <c r="R300" s="56">
        <v>1016.2186537926493</v>
      </c>
      <c r="S300" s="61">
        <v>4.4000000035199998</v>
      </c>
      <c r="T300" s="51">
        <v>2.3666666685599997</v>
      </c>
      <c r="U300" s="25">
        <v>0.58881610915615468</v>
      </c>
      <c r="V300" s="192" t="s">
        <v>213</v>
      </c>
      <c r="W300" s="195"/>
      <c r="X300" s="26">
        <v>0</v>
      </c>
      <c r="Y300" s="27">
        <v>0</v>
      </c>
      <c r="Z300" s="28">
        <v>0</v>
      </c>
      <c r="AA300" s="29">
        <v>0</v>
      </c>
      <c r="AB300" s="285" t="s">
        <v>388</v>
      </c>
    </row>
    <row r="301" spans="1:28" s="20" customFormat="1" x14ac:dyDescent="0.3">
      <c r="A301" s="38">
        <v>44860</v>
      </c>
      <c r="B301" s="39">
        <v>8.8000000000000007</v>
      </c>
      <c r="C301" s="14">
        <v>12.3</v>
      </c>
      <c r="D301" s="14">
        <v>11.8</v>
      </c>
      <c r="E301" s="14">
        <v>12.7</v>
      </c>
      <c r="F301" s="14">
        <v>8.6999999999999993</v>
      </c>
      <c r="G301" s="54">
        <f t="shared" si="23"/>
        <v>4</v>
      </c>
      <c r="H301" s="54">
        <f t="shared" si="24"/>
        <v>11.175000000000001</v>
      </c>
      <c r="I301" s="67">
        <v>11.089722222222246</v>
      </c>
      <c r="J301" s="14">
        <v>11.4</v>
      </c>
      <c r="K301" s="14">
        <v>8.3000000000000007</v>
      </c>
      <c r="L301" s="67">
        <v>10.28680555555561</v>
      </c>
      <c r="M301" s="73">
        <v>98.5</v>
      </c>
      <c r="N301" s="24">
        <v>90.4</v>
      </c>
      <c r="O301" s="69">
        <v>94.808055555555583</v>
      </c>
      <c r="P301" s="102">
        <v>1025.2161945202199</v>
      </c>
      <c r="Q301" s="21">
        <v>1019.05638430586</v>
      </c>
      <c r="R301" s="56">
        <v>1021.968780479117</v>
      </c>
      <c r="S301" s="61">
        <v>3.70000000296</v>
      </c>
      <c r="T301" s="51">
        <v>2.603333335416</v>
      </c>
      <c r="U301" s="25">
        <v>0.52079720658233519</v>
      </c>
      <c r="V301" s="192" t="s">
        <v>252</v>
      </c>
      <c r="W301" s="195"/>
      <c r="X301" s="26">
        <v>0</v>
      </c>
      <c r="Y301" s="27">
        <v>0</v>
      </c>
      <c r="Z301" s="28">
        <v>0</v>
      </c>
      <c r="AA301" s="29">
        <v>0</v>
      </c>
      <c r="AB301" s="285" t="s">
        <v>218</v>
      </c>
    </row>
    <row r="302" spans="1:28" s="20" customFormat="1" x14ac:dyDescent="0.3">
      <c r="A302" s="38">
        <v>44861</v>
      </c>
      <c r="B302" s="39">
        <v>11.1</v>
      </c>
      <c r="C302" s="14">
        <v>16.399999999999999</v>
      </c>
      <c r="D302" s="14">
        <v>6.9</v>
      </c>
      <c r="E302" s="14">
        <v>17.2</v>
      </c>
      <c r="F302" s="14">
        <v>6.8</v>
      </c>
      <c r="G302" s="54">
        <f t="shared" si="23"/>
        <v>10.399999999999999</v>
      </c>
      <c r="H302" s="54">
        <f t="shared" si="24"/>
        <v>10.324999999999999</v>
      </c>
      <c r="I302" s="67">
        <v>12.044375000000004</v>
      </c>
      <c r="J302" s="14">
        <v>13.7</v>
      </c>
      <c r="K302" s="14">
        <v>5.9</v>
      </c>
      <c r="L302" s="67">
        <v>10.454861111111116</v>
      </c>
      <c r="M302" s="73">
        <v>97.5</v>
      </c>
      <c r="N302" s="24">
        <v>74.8</v>
      </c>
      <c r="O302" s="69">
        <v>90.419513888889028</v>
      </c>
      <c r="P302" s="102">
        <v>1030.0233326448299</v>
      </c>
      <c r="Q302" s="21">
        <v>1025.0115196960001</v>
      </c>
      <c r="R302" s="56">
        <v>1027.5418360050803</v>
      </c>
      <c r="S302" s="61">
        <v>4.1000000032799999</v>
      </c>
      <c r="T302" s="51">
        <v>2.380000001904</v>
      </c>
      <c r="U302" s="25">
        <v>0.5447063093552682</v>
      </c>
      <c r="V302" s="192" t="s">
        <v>330</v>
      </c>
      <c r="W302" s="195"/>
      <c r="X302" s="26">
        <v>0</v>
      </c>
      <c r="Y302" s="27">
        <v>0</v>
      </c>
      <c r="Z302" s="28">
        <v>0</v>
      </c>
      <c r="AA302" s="29">
        <v>0</v>
      </c>
      <c r="AB302" s="285" t="s">
        <v>447</v>
      </c>
    </row>
    <row r="303" spans="1:28" s="20" customFormat="1" x14ac:dyDescent="0.3">
      <c r="A303" s="38">
        <v>44862</v>
      </c>
      <c r="B303" s="39">
        <v>8.5</v>
      </c>
      <c r="C303" s="14">
        <v>11.8</v>
      </c>
      <c r="D303" s="14">
        <v>10.8</v>
      </c>
      <c r="E303" s="14">
        <v>11.9</v>
      </c>
      <c r="F303" s="14">
        <v>8.4</v>
      </c>
      <c r="G303" s="54">
        <f t="shared" si="23"/>
        <v>3.5</v>
      </c>
      <c r="H303" s="54">
        <f t="shared" si="24"/>
        <v>10.475000000000001</v>
      </c>
      <c r="I303" s="67">
        <v>10.220694444444398</v>
      </c>
      <c r="J303" s="14">
        <v>11</v>
      </c>
      <c r="K303" s="14">
        <v>7.9</v>
      </c>
      <c r="L303" s="67">
        <v>9.6206250000000679</v>
      </c>
      <c r="M303" s="73">
        <v>97.8</v>
      </c>
      <c r="N303" s="24">
        <v>92.8</v>
      </c>
      <c r="O303" s="69">
        <v>96.075416666666811</v>
      </c>
      <c r="P303" s="102">
        <v>1030.0916354707899</v>
      </c>
      <c r="Q303" s="21">
        <v>1027.4571117765399</v>
      </c>
      <c r="R303" s="56">
        <v>1028.7060154815754</v>
      </c>
      <c r="S303" s="61">
        <v>4.4000000035199998</v>
      </c>
      <c r="T303" s="51">
        <v>2.5266666686880002</v>
      </c>
      <c r="U303" s="25">
        <v>0.70207579105163986</v>
      </c>
      <c r="V303" s="192" t="s">
        <v>211</v>
      </c>
      <c r="W303" s="195" t="s">
        <v>210</v>
      </c>
      <c r="X303" s="26">
        <v>6</v>
      </c>
      <c r="Y303" s="27">
        <v>0.2</v>
      </c>
      <c r="Z303" s="28">
        <v>0</v>
      </c>
      <c r="AA303" s="29">
        <v>0</v>
      </c>
      <c r="AB303" s="285" t="s">
        <v>448</v>
      </c>
    </row>
    <row r="304" spans="1:28" s="20" customFormat="1" x14ac:dyDescent="0.3">
      <c r="A304" s="38">
        <v>44863</v>
      </c>
      <c r="B304" s="39">
        <v>10.6</v>
      </c>
      <c r="C304" s="14">
        <v>12.5</v>
      </c>
      <c r="D304" s="14">
        <v>11.4</v>
      </c>
      <c r="E304" s="14">
        <v>13.1</v>
      </c>
      <c r="F304" s="14">
        <v>10.4</v>
      </c>
      <c r="G304" s="54">
        <f t="shared" si="23"/>
        <v>2.6999999999999993</v>
      </c>
      <c r="H304" s="54">
        <f t="shared" si="24"/>
        <v>11.475000000000001</v>
      </c>
      <c r="I304" s="67">
        <v>11.375486111111092</v>
      </c>
      <c r="J304" s="14">
        <v>11.4</v>
      </c>
      <c r="K304" s="14">
        <v>9.8000000000000007</v>
      </c>
      <c r="L304" s="67">
        <v>10.499166666666733</v>
      </c>
      <c r="M304" s="73">
        <v>96.8</v>
      </c>
      <c r="N304" s="24">
        <v>88</v>
      </c>
      <c r="O304" s="69">
        <v>94.339375000000032</v>
      </c>
      <c r="P304" s="102">
        <v>1027.8664980149199</v>
      </c>
      <c r="Q304" s="21">
        <v>1023.59537795106</v>
      </c>
      <c r="R304" s="56">
        <v>1025.4238797995713</v>
      </c>
      <c r="S304" s="61">
        <v>6.8000000054400003</v>
      </c>
      <c r="T304" s="51">
        <v>3.5466666695040003</v>
      </c>
      <c r="U304" s="25">
        <v>1.0913333342064067</v>
      </c>
      <c r="V304" s="192" t="s">
        <v>251</v>
      </c>
      <c r="W304" s="195"/>
      <c r="X304" s="26">
        <v>0</v>
      </c>
      <c r="Y304" s="27">
        <v>0</v>
      </c>
      <c r="Z304" s="28">
        <v>0</v>
      </c>
      <c r="AA304" s="29">
        <v>0</v>
      </c>
      <c r="AB304" s="285" t="s">
        <v>449</v>
      </c>
    </row>
    <row r="305" spans="1:28" s="20" customFormat="1" x14ac:dyDescent="0.3">
      <c r="A305" s="38">
        <v>44864</v>
      </c>
      <c r="B305" s="39">
        <v>10.8</v>
      </c>
      <c r="C305" s="14">
        <v>12.8</v>
      </c>
      <c r="D305" s="14">
        <v>11.9</v>
      </c>
      <c r="E305" s="14">
        <v>13.1</v>
      </c>
      <c r="F305" s="14">
        <v>10.7</v>
      </c>
      <c r="G305" s="54">
        <f t="shared" si="23"/>
        <v>2.4000000000000004</v>
      </c>
      <c r="H305" s="54">
        <f>(B305+C305+2*D305)/4</f>
        <v>11.850000000000001</v>
      </c>
      <c r="I305" s="67">
        <v>11.578071961982339</v>
      </c>
      <c r="J305" s="14">
        <v>12</v>
      </c>
      <c r="K305" s="14">
        <v>10.1</v>
      </c>
      <c r="L305" s="67">
        <v>10.811676849966046</v>
      </c>
      <c r="M305" s="73">
        <v>97.7</v>
      </c>
      <c r="N305" s="24">
        <v>91.1</v>
      </c>
      <c r="O305" s="69">
        <v>95.082620502376145</v>
      </c>
      <c r="P305" s="102">
        <v>1023.95311928115</v>
      </c>
      <c r="Q305" s="21">
        <v>1021.12626246627</v>
      </c>
      <c r="R305" s="56">
        <v>1022.2008427500576</v>
      </c>
      <c r="S305" s="61">
        <v>3.1000000024799998</v>
      </c>
      <c r="T305" s="51">
        <v>1.663333334664</v>
      </c>
      <c r="U305" s="25">
        <v>0.3941006603812901</v>
      </c>
      <c r="V305" s="192" t="s">
        <v>211</v>
      </c>
      <c r="W305" s="195" t="s">
        <v>261</v>
      </c>
      <c r="X305" s="26">
        <v>0</v>
      </c>
      <c r="Y305" s="27">
        <v>0</v>
      </c>
      <c r="Z305" s="28">
        <v>0</v>
      </c>
      <c r="AA305" s="29">
        <v>0</v>
      </c>
      <c r="AB305" s="285" t="s">
        <v>450</v>
      </c>
    </row>
    <row r="306" spans="1:28" s="343" customFormat="1" ht="15" thickBot="1" x14ac:dyDescent="0.35">
      <c r="A306" s="38">
        <v>44865</v>
      </c>
      <c r="B306" s="323">
        <v>10.3</v>
      </c>
      <c r="C306" s="324">
        <v>11.8</v>
      </c>
      <c r="D306" s="324">
        <v>10.3</v>
      </c>
      <c r="E306" s="324">
        <v>11.8</v>
      </c>
      <c r="F306" s="324">
        <v>10</v>
      </c>
      <c r="G306" s="325">
        <f t="shared" si="23"/>
        <v>1.8000000000000007</v>
      </c>
      <c r="H306" s="325">
        <f>(B306+C306+2*D306)/4</f>
        <v>10.675000000000001</v>
      </c>
      <c r="I306" s="326">
        <v>10.80541666666673</v>
      </c>
      <c r="J306" s="324">
        <v>10.8</v>
      </c>
      <c r="K306" s="324">
        <v>9.5</v>
      </c>
      <c r="L306" s="326">
        <v>10.111736111111146</v>
      </c>
      <c r="M306" s="327">
        <v>97.1</v>
      </c>
      <c r="N306" s="328">
        <v>92.1</v>
      </c>
      <c r="O306" s="329">
        <v>95.457847222221744</v>
      </c>
      <c r="P306" s="330">
        <v>1023.72948251536</v>
      </c>
      <c r="Q306" s="331">
        <v>1021.5043580164501</v>
      </c>
      <c r="R306" s="332">
        <v>1022.6622875074397</v>
      </c>
      <c r="S306" s="333">
        <v>3.70000000296</v>
      </c>
      <c r="T306" s="334">
        <v>2.2866666684959998</v>
      </c>
      <c r="U306" s="335">
        <v>0.92852612961141401</v>
      </c>
      <c r="V306" s="336" t="s">
        <v>211</v>
      </c>
      <c r="W306" s="337" t="s">
        <v>261</v>
      </c>
      <c r="X306" s="338">
        <v>0</v>
      </c>
      <c r="Y306" s="339">
        <v>0</v>
      </c>
      <c r="Z306" s="340">
        <v>0</v>
      </c>
      <c r="AA306" s="341">
        <v>0</v>
      </c>
      <c r="AB306" s="342" t="s">
        <v>451</v>
      </c>
    </row>
    <row r="307" spans="1:28" s="361" customFormat="1" x14ac:dyDescent="0.3">
      <c r="A307" s="38">
        <v>44866</v>
      </c>
      <c r="B307" s="344">
        <v>10.1</v>
      </c>
      <c r="C307" s="345">
        <v>12.2</v>
      </c>
      <c r="D307" s="345">
        <v>10.6</v>
      </c>
      <c r="E307" s="345">
        <v>12.3</v>
      </c>
      <c r="F307" s="345">
        <v>9.9</v>
      </c>
      <c r="G307" s="346">
        <f t="shared" ref="G307:G367" si="25">E307-F307</f>
        <v>2.4000000000000004</v>
      </c>
      <c r="H307" s="346">
        <f>(B307+C307+2*D307)/4</f>
        <v>10.875</v>
      </c>
      <c r="I307" s="347">
        <v>10.767065446868402</v>
      </c>
      <c r="J307" s="345">
        <v>10.7</v>
      </c>
      <c r="K307" s="345">
        <v>9.3000000000000007</v>
      </c>
      <c r="L307" s="347">
        <v>9.8796622097114497</v>
      </c>
      <c r="M307" s="348">
        <v>97.2</v>
      </c>
      <c r="N307" s="349">
        <v>88.7</v>
      </c>
      <c r="O307" s="350">
        <v>94.271217452498604</v>
      </c>
      <c r="P307" s="351">
        <v>1022.98728777518</v>
      </c>
      <c r="Q307" s="352">
        <v>1018.56426273305</v>
      </c>
      <c r="R307" s="353">
        <v>1020.4984510252325</v>
      </c>
      <c r="S307" s="317">
        <v>8.8000000070399995</v>
      </c>
      <c r="T307" s="354">
        <v>5.7433333379279992</v>
      </c>
      <c r="U307" s="318">
        <v>2.1289760365615558</v>
      </c>
      <c r="V307" s="319" t="s">
        <v>211</v>
      </c>
      <c r="W307" s="355"/>
      <c r="X307" s="356">
        <v>0</v>
      </c>
      <c r="Y307" s="357">
        <v>0</v>
      </c>
      <c r="Z307" s="358">
        <v>0</v>
      </c>
      <c r="AA307" s="359">
        <v>0</v>
      </c>
      <c r="AB307" s="360" t="s">
        <v>445</v>
      </c>
    </row>
    <row r="308" spans="1:28" s="20" customFormat="1" x14ac:dyDescent="0.3">
      <c r="A308" s="38">
        <v>44867</v>
      </c>
      <c r="B308" s="39">
        <v>9.1999999999999993</v>
      </c>
      <c r="C308" s="14">
        <v>17.8</v>
      </c>
      <c r="D308" s="14">
        <v>9.5</v>
      </c>
      <c r="E308" s="14">
        <v>18.100000000000001</v>
      </c>
      <c r="F308" s="14">
        <v>8.6999999999999993</v>
      </c>
      <c r="G308" s="65">
        <f t="shared" si="25"/>
        <v>9.4000000000000021</v>
      </c>
      <c r="H308" s="65">
        <f t="shared" ref="H308:H335" si="26">(B308+C308+2*D308)/4</f>
        <v>11.5</v>
      </c>
      <c r="I308" s="67">
        <v>11.841527777777792</v>
      </c>
      <c r="J308" s="14">
        <v>13.5</v>
      </c>
      <c r="K308" s="14">
        <v>8</v>
      </c>
      <c r="L308" s="67">
        <v>10.149652777777778</v>
      </c>
      <c r="M308" s="73">
        <v>97.2</v>
      </c>
      <c r="N308" s="24">
        <v>71.5</v>
      </c>
      <c r="O308" s="69">
        <v>89.952986111111301</v>
      </c>
      <c r="P308" s="102">
        <v>1023.08127175895</v>
      </c>
      <c r="Q308" s="21">
        <v>1019.00840224055</v>
      </c>
      <c r="R308" s="56">
        <v>1020.7410012548564</v>
      </c>
      <c r="S308" s="61">
        <v>4.1000000032799999</v>
      </c>
      <c r="T308" s="51">
        <v>2.630000002104</v>
      </c>
      <c r="U308" s="25">
        <v>0.63217223079116858</v>
      </c>
      <c r="V308" s="192" t="s">
        <v>252</v>
      </c>
      <c r="W308" s="193"/>
      <c r="X308" s="16">
        <v>0</v>
      </c>
      <c r="Y308" s="17">
        <v>0</v>
      </c>
      <c r="Z308" s="18">
        <v>0</v>
      </c>
      <c r="AA308" s="42">
        <v>0</v>
      </c>
      <c r="AB308" s="284" t="s">
        <v>341</v>
      </c>
    </row>
    <row r="309" spans="1:28" s="20" customFormat="1" x14ac:dyDescent="0.3">
      <c r="A309" s="38">
        <v>44868</v>
      </c>
      <c r="B309" s="39">
        <v>6.9</v>
      </c>
      <c r="C309" s="14">
        <v>15.2</v>
      </c>
      <c r="D309" s="14">
        <v>9.1</v>
      </c>
      <c r="E309" s="14">
        <v>15.7</v>
      </c>
      <c r="F309" s="14">
        <v>6.5</v>
      </c>
      <c r="G309" s="65">
        <f t="shared" si="25"/>
        <v>9.1999999999999993</v>
      </c>
      <c r="H309" s="65">
        <f t="shared" si="26"/>
        <v>10.074999999999999</v>
      </c>
      <c r="I309" s="67">
        <v>9.838819444444427</v>
      </c>
      <c r="J309" s="14">
        <v>10.9</v>
      </c>
      <c r="K309" s="14">
        <v>6.1</v>
      </c>
      <c r="L309" s="67">
        <v>7.9452777777777364</v>
      </c>
      <c r="M309" s="73">
        <v>98.1</v>
      </c>
      <c r="N309" s="24">
        <v>63.9</v>
      </c>
      <c r="O309" s="69">
        <v>88.858472222221963</v>
      </c>
      <c r="P309" s="102">
        <v>1024.8195617736001</v>
      </c>
      <c r="Q309" s="21">
        <v>1016.22107278269</v>
      </c>
      <c r="R309" s="56">
        <v>1021.3187749802187</v>
      </c>
      <c r="S309" s="61">
        <v>6.10000000488</v>
      </c>
      <c r="T309" s="51">
        <v>4.19166667002</v>
      </c>
      <c r="U309" s="25">
        <v>1.0357074002019093</v>
      </c>
      <c r="V309" s="192" t="s">
        <v>211</v>
      </c>
      <c r="W309" s="193"/>
      <c r="X309" s="16">
        <v>0</v>
      </c>
      <c r="Y309" s="17">
        <v>0</v>
      </c>
      <c r="Z309" s="18">
        <v>0</v>
      </c>
      <c r="AA309" s="42">
        <v>0</v>
      </c>
      <c r="AB309" s="284" t="s">
        <v>274</v>
      </c>
    </row>
    <row r="310" spans="1:28" s="20" customFormat="1" x14ac:dyDescent="0.3">
      <c r="A310" s="38">
        <v>44869</v>
      </c>
      <c r="B310" s="39">
        <v>7.7</v>
      </c>
      <c r="C310" s="14">
        <v>13.5</v>
      </c>
      <c r="D310" s="14">
        <v>7.5</v>
      </c>
      <c r="E310" s="14">
        <v>14</v>
      </c>
      <c r="F310" s="14">
        <v>7.3</v>
      </c>
      <c r="G310" s="65">
        <f t="shared" si="25"/>
        <v>6.7</v>
      </c>
      <c r="H310" s="65">
        <f t="shared" si="26"/>
        <v>9.0500000000000007</v>
      </c>
      <c r="I310" s="67">
        <v>9.6954166666666417</v>
      </c>
      <c r="J310" s="14">
        <v>8.4</v>
      </c>
      <c r="K310" s="14">
        <v>5.8</v>
      </c>
      <c r="L310" s="67">
        <v>7.1351388888888945</v>
      </c>
      <c r="M310" s="73">
        <v>96.1</v>
      </c>
      <c r="N310" s="24">
        <v>64.400000000000006</v>
      </c>
      <c r="O310" s="69">
        <v>84.860833333333389</v>
      </c>
      <c r="P310" s="102">
        <v>1016.35755615546</v>
      </c>
      <c r="Q310" s="21">
        <v>1007.63797396575</v>
      </c>
      <c r="R310" s="56">
        <v>1010.5629455866053</v>
      </c>
      <c r="S310" s="62">
        <v>9.5000000076000006</v>
      </c>
      <c r="T310" s="52">
        <v>6.2366666716559997</v>
      </c>
      <c r="U310" s="19">
        <v>1.4062560049674619</v>
      </c>
      <c r="V310" s="192" t="s">
        <v>213</v>
      </c>
      <c r="W310" s="194"/>
      <c r="X310" s="16">
        <v>0</v>
      </c>
      <c r="Y310" s="17">
        <v>0</v>
      </c>
      <c r="Z310" s="18">
        <v>0</v>
      </c>
      <c r="AA310" s="42">
        <v>0</v>
      </c>
      <c r="AB310" s="284" t="s">
        <v>436</v>
      </c>
    </row>
    <row r="311" spans="1:28" s="20" customFormat="1" x14ac:dyDescent="0.3">
      <c r="A311" s="38">
        <v>44870</v>
      </c>
      <c r="B311" s="39">
        <v>8.6999999999999993</v>
      </c>
      <c r="C311" s="14">
        <v>9.4</v>
      </c>
      <c r="D311" s="14">
        <v>8.6999999999999993</v>
      </c>
      <c r="E311" s="14">
        <v>10.199999999999999</v>
      </c>
      <c r="F311" s="14">
        <v>7.2</v>
      </c>
      <c r="G311" s="65">
        <f t="shared" si="25"/>
        <v>2.9999999999999991</v>
      </c>
      <c r="H311" s="65">
        <f t="shared" si="26"/>
        <v>8.875</v>
      </c>
      <c r="I311" s="67">
        <v>8.8454861111111835</v>
      </c>
      <c r="J311" s="14">
        <v>9.6999999999999993</v>
      </c>
      <c r="K311" s="14">
        <v>6.4</v>
      </c>
      <c r="L311" s="67">
        <v>8.3063888888887689</v>
      </c>
      <c r="M311" s="73">
        <v>97.5</v>
      </c>
      <c r="N311" s="24">
        <v>94.2</v>
      </c>
      <c r="O311" s="69">
        <v>96.407430555555365</v>
      </c>
      <c r="P311" s="102">
        <v>1017.36437182715</v>
      </c>
      <c r="Q311" s="21">
        <v>1007.64636656767</v>
      </c>
      <c r="R311" s="56">
        <v>1011.7122613544199</v>
      </c>
      <c r="S311" s="61">
        <v>3.4000000027200001</v>
      </c>
      <c r="T311" s="51">
        <v>1.7100000013679999</v>
      </c>
      <c r="U311" s="25">
        <v>0.27241962796751407</v>
      </c>
      <c r="V311" s="192" t="s">
        <v>213</v>
      </c>
      <c r="W311" s="194" t="s">
        <v>210</v>
      </c>
      <c r="X311" s="16">
        <v>24</v>
      </c>
      <c r="Y311" s="17">
        <v>13.1</v>
      </c>
      <c r="Z311" s="18">
        <v>0</v>
      </c>
      <c r="AA311" s="42">
        <v>0</v>
      </c>
      <c r="AB311" s="284" t="s">
        <v>437</v>
      </c>
    </row>
    <row r="312" spans="1:28" s="20" customFormat="1" x14ac:dyDescent="0.3">
      <c r="A312" s="38">
        <v>44871</v>
      </c>
      <c r="B312" s="39">
        <v>8.3000000000000007</v>
      </c>
      <c r="C312" s="14">
        <v>11.1</v>
      </c>
      <c r="D312" s="14">
        <v>8.8000000000000007</v>
      </c>
      <c r="E312" s="14">
        <v>11.4</v>
      </c>
      <c r="F312" s="14">
        <v>5.7</v>
      </c>
      <c r="G312" s="65">
        <f t="shared" si="25"/>
        <v>5.7</v>
      </c>
      <c r="H312" s="65">
        <f t="shared" si="26"/>
        <v>9.25</v>
      </c>
      <c r="I312" s="67">
        <v>9.152638888888939</v>
      </c>
      <c r="J312" s="14">
        <v>9.6</v>
      </c>
      <c r="K312" s="14">
        <v>5.0999999999999996</v>
      </c>
      <c r="L312" s="67">
        <v>8.1522222222222371</v>
      </c>
      <c r="M312" s="73">
        <v>97.6</v>
      </c>
      <c r="N312" s="24">
        <v>86.7</v>
      </c>
      <c r="O312" s="69">
        <v>93.552222222222369</v>
      </c>
      <c r="P312" s="102">
        <v>1019.5930719596601</v>
      </c>
      <c r="Q312" s="21">
        <v>1016.79272408925</v>
      </c>
      <c r="R312" s="56">
        <v>1018.2652216741184</v>
      </c>
      <c r="S312" s="61">
        <v>4.8000000038400001</v>
      </c>
      <c r="T312" s="51">
        <v>2.7216666688439992</v>
      </c>
      <c r="U312" s="25">
        <v>0.94647272802990501</v>
      </c>
      <c r="V312" s="192" t="s">
        <v>215</v>
      </c>
      <c r="W312" s="194"/>
      <c r="X312" s="16">
        <v>0</v>
      </c>
      <c r="Y312" s="17">
        <v>0</v>
      </c>
      <c r="Z312" s="18">
        <v>0</v>
      </c>
      <c r="AA312" s="42">
        <v>0</v>
      </c>
      <c r="AB312" s="284" t="s">
        <v>231</v>
      </c>
    </row>
    <row r="313" spans="1:28" s="20" customFormat="1" x14ac:dyDescent="0.3">
      <c r="A313" s="38">
        <v>44872</v>
      </c>
      <c r="B313" s="39">
        <v>6.2</v>
      </c>
      <c r="C313" s="14">
        <v>10.199999999999999</v>
      </c>
      <c r="D313" s="14">
        <v>9.1999999999999993</v>
      </c>
      <c r="E313" s="14">
        <v>11.6</v>
      </c>
      <c r="F313" s="14">
        <v>4.8</v>
      </c>
      <c r="G313" s="65">
        <f t="shared" si="25"/>
        <v>6.8</v>
      </c>
      <c r="H313" s="65">
        <f t="shared" si="26"/>
        <v>8.6999999999999993</v>
      </c>
      <c r="I313" s="67">
        <v>8.2997916666666427</v>
      </c>
      <c r="J313" s="14">
        <v>9.6999999999999993</v>
      </c>
      <c r="K313" s="14">
        <v>4.2</v>
      </c>
      <c r="L313" s="67">
        <v>7.592777777777834</v>
      </c>
      <c r="M313" s="73">
        <v>99.4</v>
      </c>
      <c r="N313" s="24">
        <v>87.4</v>
      </c>
      <c r="O313" s="69">
        <v>95.342013888888644</v>
      </c>
      <c r="P313" s="102">
        <v>1020.49550810916</v>
      </c>
      <c r="Q313" s="21">
        <v>1017.38572670476</v>
      </c>
      <c r="R313" s="56">
        <v>1018.6511160014229</v>
      </c>
      <c r="S313" s="61">
        <v>7.5000000059999996</v>
      </c>
      <c r="T313" s="51">
        <v>4.9500000039599996</v>
      </c>
      <c r="U313" s="25">
        <v>0.97203410260279643</v>
      </c>
      <c r="V313" s="192" t="s">
        <v>211</v>
      </c>
      <c r="W313" s="194"/>
      <c r="X313" s="16">
        <v>0</v>
      </c>
      <c r="Y313" s="17">
        <v>0</v>
      </c>
      <c r="Z313" s="18">
        <v>0</v>
      </c>
      <c r="AA313" s="42">
        <v>0</v>
      </c>
      <c r="AB313" s="284" t="s">
        <v>433</v>
      </c>
    </row>
    <row r="314" spans="1:28" s="20" customFormat="1" x14ac:dyDescent="0.3">
      <c r="A314" s="38">
        <v>44873</v>
      </c>
      <c r="B314" s="39">
        <v>8.3000000000000007</v>
      </c>
      <c r="C314" s="14">
        <v>10.8</v>
      </c>
      <c r="D314" s="14">
        <v>8.6</v>
      </c>
      <c r="E314" s="14">
        <v>11.4</v>
      </c>
      <c r="F314" s="14">
        <v>8.1</v>
      </c>
      <c r="G314" s="65">
        <f t="shared" si="25"/>
        <v>3.3000000000000007</v>
      </c>
      <c r="H314" s="65">
        <f t="shared" si="26"/>
        <v>9.0749999999999993</v>
      </c>
      <c r="I314" s="67">
        <v>9.0528472222223311</v>
      </c>
      <c r="J314" s="14">
        <v>9.1999999999999993</v>
      </c>
      <c r="K314" s="14">
        <v>7.2</v>
      </c>
      <c r="L314" s="67">
        <v>7.9944444444443974</v>
      </c>
      <c r="M314" s="73">
        <v>97.3</v>
      </c>
      <c r="N314" s="24">
        <v>83.5</v>
      </c>
      <c r="O314" s="69">
        <v>93.121805555555639</v>
      </c>
      <c r="P314" s="102">
        <v>1021.8345530458801</v>
      </c>
      <c r="Q314" s="21">
        <v>1020.13653908793</v>
      </c>
      <c r="R314" s="56">
        <v>1020.8696902445198</v>
      </c>
      <c r="S314" s="61">
        <v>6.5000000052000004</v>
      </c>
      <c r="T314" s="51">
        <v>4.0533333365760003</v>
      </c>
      <c r="U314" s="25">
        <v>1.5217153296845285</v>
      </c>
      <c r="V314" s="192" t="s">
        <v>211</v>
      </c>
      <c r="W314" s="194"/>
      <c r="X314" s="16">
        <v>0</v>
      </c>
      <c r="Y314" s="17">
        <v>0</v>
      </c>
      <c r="Z314" s="18">
        <v>0</v>
      </c>
      <c r="AA314" s="42">
        <v>0</v>
      </c>
      <c r="AB314" s="284" t="s">
        <v>437</v>
      </c>
    </row>
    <row r="315" spans="1:28" s="20" customFormat="1" x14ac:dyDescent="0.3">
      <c r="A315" s="38">
        <v>44874</v>
      </c>
      <c r="B315" s="39">
        <v>7</v>
      </c>
      <c r="C315" s="14">
        <v>9.5</v>
      </c>
      <c r="D315" s="14">
        <v>9.5</v>
      </c>
      <c r="E315" s="14">
        <v>11.6</v>
      </c>
      <c r="F315" s="14">
        <v>6.9</v>
      </c>
      <c r="G315" s="65">
        <f t="shared" si="25"/>
        <v>4.6999999999999993</v>
      </c>
      <c r="H315" s="65">
        <f t="shared" si="26"/>
        <v>8.875</v>
      </c>
      <c r="I315" s="67">
        <v>8.5243055555555483</v>
      </c>
      <c r="J315" s="14">
        <v>8.9</v>
      </c>
      <c r="K315" s="14">
        <v>6.3</v>
      </c>
      <c r="L315" s="67">
        <v>7.4688194444444767</v>
      </c>
      <c r="M315" s="73">
        <v>96.4</v>
      </c>
      <c r="N315" s="24">
        <v>81.2</v>
      </c>
      <c r="O315" s="69">
        <v>93.145694444444516</v>
      </c>
      <c r="P315" s="102">
        <v>1021.20241207147</v>
      </c>
      <c r="Q315" s="21">
        <v>1018.21020469787</v>
      </c>
      <c r="R315" s="56">
        <v>1019.7844504318095</v>
      </c>
      <c r="S315" s="61">
        <v>6.8000000054400003</v>
      </c>
      <c r="T315" s="51">
        <v>4.6050000036839993</v>
      </c>
      <c r="U315" s="25">
        <v>2.1312138745373335</v>
      </c>
      <c r="V315" s="192" t="s">
        <v>211</v>
      </c>
      <c r="W315" s="194"/>
      <c r="X315" s="16">
        <v>0</v>
      </c>
      <c r="Y315" s="17">
        <v>0</v>
      </c>
      <c r="Z315" s="18">
        <v>0</v>
      </c>
      <c r="AA315" s="42">
        <v>0</v>
      </c>
      <c r="AB315" s="284" t="s">
        <v>445</v>
      </c>
    </row>
    <row r="316" spans="1:28" s="20" customFormat="1" x14ac:dyDescent="0.3">
      <c r="A316" s="38">
        <v>44875</v>
      </c>
      <c r="B316" s="39">
        <v>8.9</v>
      </c>
      <c r="C316" s="14">
        <v>11.6</v>
      </c>
      <c r="D316" s="14">
        <v>5.7</v>
      </c>
      <c r="E316" s="14">
        <v>12.5</v>
      </c>
      <c r="F316" s="14">
        <v>5.3</v>
      </c>
      <c r="G316" s="65">
        <f t="shared" si="25"/>
        <v>7.2</v>
      </c>
      <c r="H316" s="65">
        <f t="shared" si="26"/>
        <v>7.9749999999999996</v>
      </c>
      <c r="I316" s="67">
        <v>9.2381250000000232</v>
      </c>
      <c r="J316" s="14">
        <v>10.9</v>
      </c>
      <c r="K316" s="14">
        <v>4.9000000000000004</v>
      </c>
      <c r="L316" s="67">
        <v>8.4204861111111686</v>
      </c>
      <c r="M316" s="73">
        <v>97.4</v>
      </c>
      <c r="N316" s="24">
        <v>87.5</v>
      </c>
      <c r="O316" s="69">
        <v>94.654583333333463</v>
      </c>
      <c r="P316" s="102">
        <v>1030.47760676809</v>
      </c>
      <c r="Q316" s="21">
        <v>1018.16773770176</v>
      </c>
      <c r="R316" s="56">
        <v>1023.4494745590855</v>
      </c>
      <c r="S316" s="61">
        <v>3.4000000027200001</v>
      </c>
      <c r="T316" s="51">
        <v>2.1666666684</v>
      </c>
      <c r="U316" s="25">
        <v>0.65953771342299328</v>
      </c>
      <c r="V316" s="192" t="s">
        <v>252</v>
      </c>
      <c r="W316" s="194" t="s">
        <v>261</v>
      </c>
      <c r="X316" s="16">
        <v>0</v>
      </c>
      <c r="Y316" s="17">
        <v>0</v>
      </c>
      <c r="Z316" s="18">
        <v>0</v>
      </c>
      <c r="AA316" s="42">
        <v>0</v>
      </c>
      <c r="AB316" s="284" t="s">
        <v>454</v>
      </c>
    </row>
    <row r="317" spans="1:28" s="20" customFormat="1" x14ac:dyDescent="0.3">
      <c r="A317" s="38">
        <v>44876</v>
      </c>
      <c r="B317" s="39">
        <v>3.7</v>
      </c>
      <c r="C317" s="14">
        <v>13.8</v>
      </c>
      <c r="D317" s="14">
        <v>5.0999999999999996</v>
      </c>
      <c r="E317" s="14">
        <v>14.4</v>
      </c>
      <c r="F317" s="14">
        <v>3.5</v>
      </c>
      <c r="G317" s="65">
        <f t="shared" si="25"/>
        <v>10.9</v>
      </c>
      <c r="H317" s="65">
        <f t="shared" si="26"/>
        <v>6.9249999999999998</v>
      </c>
      <c r="I317" s="67">
        <v>7.119513888888866</v>
      </c>
      <c r="J317" s="14">
        <v>9.6999999999999993</v>
      </c>
      <c r="K317" s="14">
        <v>3.2</v>
      </c>
      <c r="L317" s="67">
        <v>5.393194444444446</v>
      </c>
      <c r="M317" s="73">
        <v>99.1</v>
      </c>
      <c r="N317" s="24">
        <v>67.400000000000006</v>
      </c>
      <c r="O317" s="69">
        <v>89.646180555555787</v>
      </c>
      <c r="P317" s="102">
        <v>1033.20202260817</v>
      </c>
      <c r="Q317" s="21">
        <v>1030.1169022694301</v>
      </c>
      <c r="R317" s="56">
        <v>1031.5589726030732</v>
      </c>
      <c r="S317" s="61">
        <v>3.4000000027200001</v>
      </c>
      <c r="T317" s="51">
        <v>2.0700000016560001</v>
      </c>
      <c r="U317" s="25">
        <v>0.42712585068183401</v>
      </c>
      <c r="V317" s="192" t="s">
        <v>213</v>
      </c>
      <c r="W317" s="194" t="s">
        <v>455</v>
      </c>
      <c r="X317" s="16">
        <v>6</v>
      </c>
      <c r="Y317" s="17">
        <v>0.1</v>
      </c>
      <c r="Z317" s="18">
        <v>0</v>
      </c>
      <c r="AA317" s="42">
        <v>0</v>
      </c>
      <c r="AB317" s="284" t="s">
        <v>433</v>
      </c>
    </row>
    <row r="318" spans="1:28" s="20" customFormat="1" x14ac:dyDescent="0.3">
      <c r="A318" s="38">
        <v>44877</v>
      </c>
      <c r="B318" s="39">
        <v>4.9000000000000004</v>
      </c>
      <c r="C318" s="14">
        <v>13.5</v>
      </c>
      <c r="D318" s="14">
        <v>3.8</v>
      </c>
      <c r="E318" s="14">
        <v>13.5</v>
      </c>
      <c r="F318" s="14">
        <v>2.4</v>
      </c>
      <c r="G318" s="65">
        <f t="shared" si="25"/>
        <v>11.1</v>
      </c>
      <c r="H318" s="65">
        <f t="shared" si="26"/>
        <v>6.5</v>
      </c>
      <c r="I318" s="67">
        <v>6.875763888888887</v>
      </c>
      <c r="J318" s="14">
        <v>10</v>
      </c>
      <c r="K318" s="14">
        <v>1.8</v>
      </c>
      <c r="L318" s="67">
        <v>5.4817361111111067</v>
      </c>
      <c r="M318" s="73">
        <v>98.5</v>
      </c>
      <c r="N318" s="24">
        <v>71.7</v>
      </c>
      <c r="O318" s="69">
        <v>91.325555555555553</v>
      </c>
      <c r="P318" s="102">
        <v>1033.56632106755</v>
      </c>
      <c r="Q318" s="21">
        <v>1030.7781892995299</v>
      </c>
      <c r="R318" s="56">
        <v>1032.0974438437217</v>
      </c>
      <c r="S318" s="61">
        <v>4.4000000035199998</v>
      </c>
      <c r="T318" s="51">
        <v>3.103333335816</v>
      </c>
      <c r="U318" s="25">
        <v>0.59346098313371798</v>
      </c>
      <c r="V318" s="192" t="s">
        <v>213</v>
      </c>
      <c r="W318" s="194"/>
      <c r="X318" s="16">
        <v>0</v>
      </c>
      <c r="Y318" s="17">
        <v>0</v>
      </c>
      <c r="Z318" s="18">
        <v>0</v>
      </c>
      <c r="AA318" s="42">
        <v>0</v>
      </c>
      <c r="AB318" s="284" t="s">
        <v>320</v>
      </c>
    </row>
    <row r="319" spans="1:28" s="20" customFormat="1" x14ac:dyDescent="0.3">
      <c r="A319" s="38">
        <v>44878</v>
      </c>
      <c r="B319" s="39">
        <v>5.8</v>
      </c>
      <c r="C319" s="14">
        <v>10.5</v>
      </c>
      <c r="D319" s="14">
        <v>5.3</v>
      </c>
      <c r="E319" s="14">
        <v>11</v>
      </c>
      <c r="F319" s="14">
        <v>3.5</v>
      </c>
      <c r="G319" s="65">
        <f t="shared" si="25"/>
        <v>7.5</v>
      </c>
      <c r="H319" s="65">
        <f t="shared" si="26"/>
        <v>6.7249999999999996</v>
      </c>
      <c r="I319" s="67">
        <v>6.3459097320169402</v>
      </c>
      <c r="J319" s="14">
        <v>8.8000000000000007</v>
      </c>
      <c r="K319" s="14">
        <v>2.9</v>
      </c>
      <c r="L319" s="67">
        <v>5.6538787023977513</v>
      </c>
      <c r="M319" s="73">
        <v>98.9</v>
      </c>
      <c r="N319" s="24">
        <v>84.1</v>
      </c>
      <c r="O319" s="69">
        <v>95.39464033850517</v>
      </c>
      <c r="P319" s="102">
        <v>1033.3573505376801</v>
      </c>
      <c r="Q319" s="21">
        <v>1028.55708580231</v>
      </c>
      <c r="R319" s="56">
        <v>1030.8781268845298</v>
      </c>
      <c r="S319" s="61">
        <v>2.4000000019200001</v>
      </c>
      <c r="T319" s="51">
        <v>1.7600000014079999</v>
      </c>
      <c r="U319" s="25">
        <v>0.3015568431087351</v>
      </c>
      <c r="V319" s="192" t="s">
        <v>213</v>
      </c>
      <c r="W319" s="195"/>
      <c r="X319" s="26">
        <v>0</v>
      </c>
      <c r="Y319" s="27">
        <v>0</v>
      </c>
      <c r="Z319" s="28">
        <v>0</v>
      </c>
      <c r="AA319" s="29">
        <v>0</v>
      </c>
      <c r="AB319" s="285" t="s">
        <v>456</v>
      </c>
    </row>
    <row r="320" spans="1:28" s="20" customFormat="1" x14ac:dyDescent="0.3">
      <c r="A320" s="38">
        <v>44879</v>
      </c>
      <c r="B320" s="39">
        <v>4.2</v>
      </c>
      <c r="C320" s="14">
        <v>6.3</v>
      </c>
      <c r="D320" s="14">
        <v>5.5</v>
      </c>
      <c r="E320" s="14">
        <v>6.7</v>
      </c>
      <c r="F320" s="14">
        <v>4.0999999999999996</v>
      </c>
      <c r="G320" s="65">
        <f t="shared" si="25"/>
        <v>2.6000000000000005</v>
      </c>
      <c r="H320" s="65">
        <f t="shared" si="26"/>
        <v>5.375</v>
      </c>
      <c r="I320" s="67">
        <v>5.4575000000000333</v>
      </c>
      <c r="J320" s="14">
        <v>6.3</v>
      </c>
      <c r="K320" s="14">
        <v>3.8</v>
      </c>
      <c r="L320" s="67">
        <v>5.1127777777777936</v>
      </c>
      <c r="M320" s="73">
        <v>98.6</v>
      </c>
      <c r="N320" s="24">
        <v>96.9</v>
      </c>
      <c r="O320" s="69">
        <v>97.596944444444333</v>
      </c>
      <c r="P320" s="102">
        <v>1028.7705220990899</v>
      </c>
      <c r="Q320" s="21">
        <v>1021.66394985144</v>
      </c>
      <c r="R320" s="56">
        <v>1025.3796227493212</v>
      </c>
      <c r="S320" s="61">
        <v>3.4000000027200001</v>
      </c>
      <c r="T320" s="51">
        <v>2.1300000017039999</v>
      </c>
      <c r="U320" s="25">
        <v>0.6929245288562268</v>
      </c>
      <c r="V320" s="192" t="s">
        <v>253</v>
      </c>
      <c r="W320" s="195" t="s">
        <v>261</v>
      </c>
      <c r="X320" s="26">
        <v>0</v>
      </c>
      <c r="Y320" s="27">
        <v>0</v>
      </c>
      <c r="Z320" s="28">
        <v>0</v>
      </c>
      <c r="AA320" s="29">
        <v>0</v>
      </c>
      <c r="AB320" s="285" t="s">
        <v>457</v>
      </c>
    </row>
    <row r="321" spans="1:28" s="20" customFormat="1" x14ac:dyDescent="0.3">
      <c r="A321" s="38">
        <v>44880</v>
      </c>
      <c r="B321" s="39">
        <v>4</v>
      </c>
      <c r="C321" s="14">
        <v>7.9</v>
      </c>
      <c r="D321" s="14">
        <v>5.6</v>
      </c>
      <c r="E321" s="14">
        <v>8.4</v>
      </c>
      <c r="F321" s="14">
        <v>3.9</v>
      </c>
      <c r="G321" s="65">
        <f t="shared" si="25"/>
        <v>4.5</v>
      </c>
      <c r="H321" s="65">
        <f t="shared" si="26"/>
        <v>5.7750000000000004</v>
      </c>
      <c r="I321" s="67">
        <v>5.4477083333333178</v>
      </c>
      <c r="J321" s="14">
        <v>7.2</v>
      </c>
      <c r="K321" s="14">
        <v>3.6</v>
      </c>
      <c r="L321" s="67">
        <v>4.9818750000000005</v>
      </c>
      <c r="M321" s="73">
        <v>99.1</v>
      </c>
      <c r="N321" s="24">
        <v>89.7</v>
      </c>
      <c r="O321" s="69">
        <v>96.900277777777831</v>
      </c>
      <c r="P321" s="102">
        <v>1021.97978387705</v>
      </c>
      <c r="Q321" s="21">
        <v>1010.23021756036</v>
      </c>
      <c r="R321" s="56">
        <v>1016.6440145041933</v>
      </c>
      <c r="S321" s="61">
        <v>2.4000000019200001</v>
      </c>
      <c r="T321" s="51">
        <v>1.5000000012000001</v>
      </c>
      <c r="U321" s="25">
        <v>0.36103047924383491</v>
      </c>
      <c r="V321" s="192" t="s">
        <v>215</v>
      </c>
      <c r="W321" s="195"/>
      <c r="X321" s="26">
        <v>0</v>
      </c>
      <c r="Y321" s="27">
        <v>0</v>
      </c>
      <c r="Z321" s="28">
        <v>0</v>
      </c>
      <c r="AA321" s="29">
        <v>0</v>
      </c>
      <c r="AB321" s="285" t="s">
        <v>433</v>
      </c>
    </row>
    <row r="322" spans="1:28" s="20" customFormat="1" x14ac:dyDescent="0.3">
      <c r="A322" s="38">
        <v>44881</v>
      </c>
      <c r="B322" s="39">
        <v>6.4</v>
      </c>
      <c r="C322" s="14">
        <v>7.3</v>
      </c>
      <c r="D322" s="14">
        <v>7.3</v>
      </c>
      <c r="E322" s="14">
        <v>7.6</v>
      </c>
      <c r="F322" s="14">
        <v>5.9</v>
      </c>
      <c r="G322" s="65">
        <f t="shared" si="25"/>
        <v>1.6999999999999993</v>
      </c>
      <c r="H322" s="65">
        <f t="shared" si="26"/>
        <v>7.0749999999999993</v>
      </c>
      <c r="I322" s="67">
        <v>6.8641666666666143</v>
      </c>
      <c r="J322" s="14">
        <v>7.3</v>
      </c>
      <c r="K322" s="14">
        <v>5.5</v>
      </c>
      <c r="L322" s="67">
        <v>6.5740277777777729</v>
      </c>
      <c r="M322" s="73">
        <v>98.4</v>
      </c>
      <c r="N322" s="24">
        <v>97.6</v>
      </c>
      <c r="O322" s="69">
        <v>98.034166666666096</v>
      </c>
      <c r="P322" s="102">
        <v>1010.23021756036</v>
      </c>
      <c r="Q322" s="21">
        <v>1000.70108727475</v>
      </c>
      <c r="R322" s="56">
        <v>1004.4748729525982</v>
      </c>
      <c r="S322" s="61">
        <v>3.1000000024799998</v>
      </c>
      <c r="T322" s="51">
        <v>1.9333333348799997</v>
      </c>
      <c r="U322" s="25">
        <v>0.53543335803941661</v>
      </c>
      <c r="V322" s="192" t="s">
        <v>215</v>
      </c>
      <c r="W322" s="195" t="s">
        <v>210</v>
      </c>
      <c r="X322" s="26">
        <v>12</v>
      </c>
      <c r="Y322" s="27">
        <v>1.2</v>
      </c>
      <c r="Z322" s="28">
        <v>0</v>
      </c>
      <c r="AA322" s="29">
        <v>0</v>
      </c>
      <c r="AB322" s="285" t="s">
        <v>437</v>
      </c>
    </row>
    <row r="323" spans="1:28" s="20" customFormat="1" x14ac:dyDescent="0.3">
      <c r="A323" s="38">
        <v>44882</v>
      </c>
      <c r="B323" s="39">
        <v>3</v>
      </c>
      <c r="C323" s="14">
        <v>3.7</v>
      </c>
      <c r="D323" s="14">
        <v>2.1</v>
      </c>
      <c r="E323" s="14">
        <v>6.7</v>
      </c>
      <c r="F323" s="14">
        <v>1.4</v>
      </c>
      <c r="G323" s="65">
        <f t="shared" si="25"/>
        <v>5.3000000000000007</v>
      </c>
      <c r="H323" s="65">
        <f t="shared" si="26"/>
        <v>2.7250000000000001</v>
      </c>
      <c r="I323" s="67">
        <v>3.3868749999999985</v>
      </c>
      <c r="J323" s="14">
        <v>6.4</v>
      </c>
      <c r="K323" s="14">
        <v>0</v>
      </c>
      <c r="L323" s="67">
        <v>2.0539583333333309</v>
      </c>
      <c r="M323" s="73">
        <v>98</v>
      </c>
      <c r="N323" s="24">
        <v>83.9</v>
      </c>
      <c r="O323" s="69">
        <v>91.02</v>
      </c>
      <c r="P323" s="102">
        <v>1004.2080971384599</v>
      </c>
      <c r="Q323" s="21">
        <v>1000.32354895149</v>
      </c>
      <c r="R323" s="56">
        <v>1002.4014089235459</v>
      </c>
      <c r="S323" s="61">
        <v>6.8000000054400003</v>
      </c>
      <c r="T323" s="51">
        <v>4.1300000033039996</v>
      </c>
      <c r="U323" s="25">
        <v>1.9349516923692143</v>
      </c>
      <c r="V323" s="192" t="s">
        <v>215</v>
      </c>
      <c r="W323" s="195" t="s">
        <v>265</v>
      </c>
      <c r="X323" s="26">
        <v>0</v>
      </c>
      <c r="Y323" s="27">
        <v>0</v>
      </c>
      <c r="Z323" s="28">
        <v>0</v>
      </c>
      <c r="AA323" s="29">
        <v>0</v>
      </c>
      <c r="AB323" s="285" t="s">
        <v>226</v>
      </c>
    </row>
    <row r="324" spans="1:28" s="20" customFormat="1" x14ac:dyDescent="0.3">
      <c r="A324" s="38">
        <v>44883</v>
      </c>
      <c r="B324" s="39">
        <v>1.3</v>
      </c>
      <c r="C324" s="14">
        <v>0.9</v>
      </c>
      <c r="D324" s="14">
        <v>-0.8</v>
      </c>
      <c r="E324" s="14">
        <v>2.5</v>
      </c>
      <c r="F324" s="14">
        <v>-1.4</v>
      </c>
      <c r="G324" s="65">
        <f t="shared" si="25"/>
        <v>3.9</v>
      </c>
      <c r="H324" s="65">
        <f t="shared" si="26"/>
        <v>0.15000000000000002</v>
      </c>
      <c r="I324" s="67">
        <v>0.67951388888888575</v>
      </c>
      <c r="J324" s="14">
        <v>1.7</v>
      </c>
      <c r="K324" s="14">
        <v>-2.4</v>
      </c>
      <c r="L324" s="67">
        <v>-8.8055555555554776E-2</v>
      </c>
      <c r="M324" s="73">
        <v>96.6</v>
      </c>
      <c r="N324" s="24">
        <v>91</v>
      </c>
      <c r="O324" s="69">
        <v>94.569027777777691</v>
      </c>
      <c r="P324" s="102">
        <v>1005.83024184936</v>
      </c>
      <c r="Q324" s="21">
        <v>1000.46200482428</v>
      </c>
      <c r="R324" s="56">
        <v>1002.2334429787034</v>
      </c>
      <c r="S324" s="61">
        <v>5.10000000408</v>
      </c>
      <c r="T324" s="51">
        <v>2.9266666690080001</v>
      </c>
      <c r="U324" s="25">
        <v>0.99404332209487622</v>
      </c>
      <c r="V324" s="192" t="s">
        <v>215</v>
      </c>
      <c r="W324" s="195" t="s">
        <v>240</v>
      </c>
      <c r="X324" s="26">
        <v>6</v>
      </c>
      <c r="Y324" s="27">
        <v>5.0999999999999996</v>
      </c>
      <c r="Z324" s="28">
        <v>1.5</v>
      </c>
      <c r="AA324" s="29">
        <v>1.5</v>
      </c>
      <c r="AB324" s="285" t="s">
        <v>242</v>
      </c>
    </row>
    <row r="325" spans="1:28" s="20" customFormat="1" x14ac:dyDescent="0.3">
      <c r="A325" s="38">
        <v>44884</v>
      </c>
      <c r="B325" s="39">
        <v>-2.8</v>
      </c>
      <c r="C325" s="14">
        <v>0.8</v>
      </c>
      <c r="D325" s="14">
        <v>-1.7</v>
      </c>
      <c r="E325" s="14">
        <v>1.1000000000000001</v>
      </c>
      <c r="F325" s="14">
        <v>-2.8</v>
      </c>
      <c r="G325" s="65">
        <f t="shared" si="25"/>
        <v>3.9</v>
      </c>
      <c r="H325" s="65">
        <f t="shared" si="26"/>
        <v>-1.3499999999999999</v>
      </c>
      <c r="I325" s="67">
        <v>-1.2600000000000011</v>
      </c>
      <c r="J325" s="14">
        <v>-1.4</v>
      </c>
      <c r="K325" s="14">
        <v>-4.2</v>
      </c>
      <c r="L325" s="67">
        <v>-2.9756944444444438</v>
      </c>
      <c r="M325" s="73">
        <v>93.5</v>
      </c>
      <c r="N325" s="24">
        <v>77.8</v>
      </c>
      <c r="O325" s="69">
        <v>88.15763888888884</v>
      </c>
      <c r="P325" s="102">
        <v>1015.54300683991</v>
      </c>
      <c r="Q325" s="21">
        <v>1005.63426550764</v>
      </c>
      <c r="R325" s="56">
        <v>1012.3805760939752</v>
      </c>
      <c r="S325" s="61">
        <v>4.4000000035199998</v>
      </c>
      <c r="T325" s="51">
        <v>2.5300000020239999</v>
      </c>
      <c r="U325" s="25">
        <v>0.63983030354215253</v>
      </c>
      <c r="V325" s="192" t="s">
        <v>215</v>
      </c>
      <c r="W325" s="195" t="s">
        <v>227</v>
      </c>
      <c r="X325" s="26">
        <v>0</v>
      </c>
      <c r="Y325" s="27">
        <v>0</v>
      </c>
      <c r="Z325" s="28">
        <v>0</v>
      </c>
      <c r="AA325" s="29">
        <v>1.2</v>
      </c>
      <c r="AB325" s="285" t="s">
        <v>242</v>
      </c>
    </row>
    <row r="326" spans="1:28" s="20" customFormat="1" x14ac:dyDescent="0.3">
      <c r="A326" s="38">
        <v>44885</v>
      </c>
      <c r="B326" s="39">
        <v>-3.9</v>
      </c>
      <c r="C326" s="14">
        <v>2.2000000000000002</v>
      </c>
      <c r="D326" s="14">
        <v>-3.5</v>
      </c>
      <c r="E326" s="14">
        <v>3.3</v>
      </c>
      <c r="F326" s="14">
        <v>-4.7</v>
      </c>
      <c r="G326" s="65">
        <f t="shared" si="25"/>
        <v>8</v>
      </c>
      <c r="H326" s="65">
        <f t="shared" si="26"/>
        <v>-2.1749999999999998</v>
      </c>
      <c r="I326" s="67">
        <v>-2.0394444444444355</v>
      </c>
      <c r="J326" s="14">
        <v>0.4</v>
      </c>
      <c r="K326" s="14">
        <v>-5.4</v>
      </c>
      <c r="L326" s="67">
        <v>-3.1589583333333344</v>
      </c>
      <c r="M326" s="73">
        <v>96.6</v>
      </c>
      <c r="N326" s="24">
        <v>78.599999999999994</v>
      </c>
      <c r="O326" s="69">
        <v>92.188402777777966</v>
      </c>
      <c r="P326" s="102">
        <v>1014.8606995466</v>
      </c>
      <c r="Q326" s="21">
        <v>1009.68634681985</v>
      </c>
      <c r="R326" s="56">
        <v>1011.9132317530391</v>
      </c>
      <c r="S326" s="61">
        <v>2.4000000019200001</v>
      </c>
      <c r="T326" s="51">
        <v>1.690000001352</v>
      </c>
      <c r="U326" s="25">
        <v>0.38205776203850106</v>
      </c>
      <c r="V326" s="192" t="s">
        <v>213</v>
      </c>
      <c r="W326" s="195"/>
      <c r="X326" s="26">
        <v>0</v>
      </c>
      <c r="Y326" s="27">
        <v>0</v>
      </c>
      <c r="Z326" s="28">
        <v>0</v>
      </c>
      <c r="AA326" s="29">
        <v>1</v>
      </c>
      <c r="AB326" s="285" t="s">
        <v>458</v>
      </c>
    </row>
    <row r="327" spans="1:28" s="20" customFormat="1" x14ac:dyDescent="0.3">
      <c r="A327" s="38">
        <v>44886</v>
      </c>
      <c r="B327" s="39">
        <v>-1.4</v>
      </c>
      <c r="C327" s="14">
        <v>3.9</v>
      </c>
      <c r="D327" s="14">
        <v>0.2</v>
      </c>
      <c r="E327" s="14">
        <v>4.5</v>
      </c>
      <c r="F327" s="14">
        <v>-4.0999999999999996</v>
      </c>
      <c r="G327" s="65">
        <f t="shared" si="25"/>
        <v>8.6</v>
      </c>
      <c r="H327" s="65">
        <f t="shared" si="26"/>
        <v>0.72499999999999998</v>
      </c>
      <c r="I327" s="67">
        <v>-0.22361111111111193</v>
      </c>
      <c r="J327" s="14">
        <v>2.8</v>
      </c>
      <c r="K327" s="14">
        <v>-4.5999999999999996</v>
      </c>
      <c r="L327" s="67">
        <v>-0.93013888888889185</v>
      </c>
      <c r="M327" s="73">
        <v>97.6</v>
      </c>
      <c r="N327" s="24">
        <v>84.2</v>
      </c>
      <c r="O327" s="69">
        <v>95.076597222221935</v>
      </c>
      <c r="P327" s="102">
        <v>1011.1879211546</v>
      </c>
      <c r="Q327" s="21">
        <v>1004.75233804288</v>
      </c>
      <c r="R327" s="56">
        <v>1007.5457512894649</v>
      </c>
      <c r="S327" s="61">
        <v>3.70000000296</v>
      </c>
      <c r="T327" s="51">
        <v>2.1166666683599997</v>
      </c>
      <c r="U327" s="25">
        <v>0.5680434787153007</v>
      </c>
      <c r="V327" s="192" t="s">
        <v>253</v>
      </c>
      <c r="W327" s="195"/>
      <c r="X327" s="26">
        <v>0</v>
      </c>
      <c r="Y327" s="27">
        <v>0</v>
      </c>
      <c r="Z327" s="28">
        <v>0</v>
      </c>
      <c r="AA327" s="29">
        <v>0.7</v>
      </c>
      <c r="AB327" s="285" t="s">
        <v>459</v>
      </c>
    </row>
    <row r="328" spans="1:28" s="20" customFormat="1" x14ac:dyDescent="0.3">
      <c r="A328" s="38">
        <v>44887</v>
      </c>
      <c r="B328" s="39">
        <v>2</v>
      </c>
      <c r="C328" s="14">
        <v>3.6</v>
      </c>
      <c r="D328" s="14">
        <v>-0.4</v>
      </c>
      <c r="E328" s="14">
        <v>3.8</v>
      </c>
      <c r="F328" s="14">
        <v>-1.7</v>
      </c>
      <c r="G328" s="65">
        <f t="shared" si="25"/>
        <v>5.5</v>
      </c>
      <c r="H328" s="65">
        <f t="shared" si="26"/>
        <v>1.2</v>
      </c>
      <c r="I328" s="67">
        <v>1.9238888888888788</v>
      </c>
      <c r="J328" s="14">
        <v>2.6</v>
      </c>
      <c r="K328" s="14">
        <v>-2.2999999999999998</v>
      </c>
      <c r="L328" s="67">
        <v>1.1876388888888898</v>
      </c>
      <c r="M328" s="73">
        <v>97.2</v>
      </c>
      <c r="N328" s="24">
        <v>90.6</v>
      </c>
      <c r="O328" s="69">
        <v>94.858749999999887</v>
      </c>
      <c r="P328" s="102">
        <v>1008.55111963322</v>
      </c>
      <c r="Q328" s="21">
        <v>1006.39150967</v>
      </c>
      <c r="R328" s="56">
        <v>1007.3825058069679</v>
      </c>
      <c r="S328" s="61">
        <v>6.8000000054400003</v>
      </c>
      <c r="T328" s="51">
        <v>4.546666670304</v>
      </c>
      <c r="U328" s="25">
        <v>1.3746319103442257</v>
      </c>
      <c r="V328" s="192" t="s">
        <v>252</v>
      </c>
      <c r="W328" s="195"/>
      <c r="X328" s="26">
        <v>0</v>
      </c>
      <c r="Y328" s="27">
        <v>0</v>
      </c>
      <c r="Z328" s="28">
        <v>0</v>
      </c>
      <c r="AA328" s="29">
        <v>0</v>
      </c>
      <c r="AB328" s="285" t="s">
        <v>228</v>
      </c>
    </row>
    <row r="329" spans="1:28" s="20" customFormat="1" x14ac:dyDescent="0.3">
      <c r="A329" s="38">
        <v>44888</v>
      </c>
      <c r="B329" s="39">
        <v>-0.7</v>
      </c>
      <c r="C329" s="14">
        <v>5.3</v>
      </c>
      <c r="D329" s="14">
        <v>0.5</v>
      </c>
      <c r="E329" s="14">
        <v>5.3</v>
      </c>
      <c r="F329" s="14">
        <v>-0.7</v>
      </c>
      <c r="G329" s="65">
        <f t="shared" si="25"/>
        <v>6</v>
      </c>
      <c r="H329" s="65">
        <f t="shared" si="26"/>
        <v>1.4</v>
      </c>
      <c r="I329" s="67">
        <v>1.2199305555555577</v>
      </c>
      <c r="J329" s="14">
        <v>3.5</v>
      </c>
      <c r="K329" s="14">
        <v>-1.1000000000000001</v>
      </c>
      <c r="L329" s="67">
        <v>0.29333333333333228</v>
      </c>
      <c r="M329" s="73">
        <v>99.1</v>
      </c>
      <c r="N329" s="24">
        <v>84.7</v>
      </c>
      <c r="O329" s="69">
        <v>93.639652777778011</v>
      </c>
      <c r="P329" s="102">
        <v>1006.34848272593</v>
      </c>
      <c r="Q329" s="21">
        <v>1002.7384914517301</v>
      </c>
      <c r="R329" s="56">
        <v>1004.1973841185841</v>
      </c>
      <c r="S329" s="61">
        <v>4.1000000032799999</v>
      </c>
      <c r="T329" s="51">
        <v>2.943333335688</v>
      </c>
      <c r="U329" s="25">
        <v>0.79689530749672066</v>
      </c>
      <c r="V329" s="192" t="s">
        <v>215</v>
      </c>
      <c r="W329" s="195" t="s">
        <v>240</v>
      </c>
      <c r="X329" s="26">
        <v>6</v>
      </c>
      <c r="Y329" s="27">
        <v>1.8</v>
      </c>
      <c r="Z329" s="28">
        <v>0</v>
      </c>
      <c r="AA329" s="29">
        <v>0</v>
      </c>
      <c r="AB329" s="285" t="s">
        <v>433</v>
      </c>
    </row>
    <row r="330" spans="1:28" s="20" customFormat="1" x14ac:dyDescent="0.3">
      <c r="A330" s="38">
        <v>44889</v>
      </c>
      <c r="B330" s="39">
        <v>0.7</v>
      </c>
      <c r="C330" s="14">
        <v>4.4000000000000004</v>
      </c>
      <c r="D330" s="14">
        <v>1.6</v>
      </c>
      <c r="E330" s="14">
        <v>4.5999999999999996</v>
      </c>
      <c r="F330" s="14">
        <v>0.4</v>
      </c>
      <c r="G330" s="65">
        <f t="shared" si="25"/>
        <v>4.1999999999999993</v>
      </c>
      <c r="H330" s="65">
        <f t="shared" si="26"/>
        <v>2.0750000000000002</v>
      </c>
      <c r="I330" s="67">
        <v>1.7853472222222071</v>
      </c>
      <c r="J330" s="14">
        <v>2.4</v>
      </c>
      <c r="K330" s="14">
        <v>-1.4</v>
      </c>
      <c r="L330" s="67">
        <v>0.3911805555555552</v>
      </c>
      <c r="M330" s="73">
        <v>96.1</v>
      </c>
      <c r="N330" s="24">
        <v>82</v>
      </c>
      <c r="O330" s="69">
        <v>90.507013888888849</v>
      </c>
      <c r="P330" s="102">
        <v>1014.74286969311</v>
      </c>
      <c r="Q330" s="21">
        <v>1004.90989144636</v>
      </c>
      <c r="R330" s="56">
        <v>1009.0056618052524</v>
      </c>
      <c r="S330" s="61">
        <v>5.8000000046400002</v>
      </c>
      <c r="T330" s="51">
        <v>3.780000003024</v>
      </c>
      <c r="U330" s="25">
        <v>1.2323586050773516</v>
      </c>
      <c r="V330" s="192" t="s">
        <v>213</v>
      </c>
      <c r="W330" s="195" t="s">
        <v>240</v>
      </c>
      <c r="X330" s="26">
        <v>6</v>
      </c>
      <c r="Y330" s="27">
        <v>0.2</v>
      </c>
      <c r="Z330" s="28">
        <v>0</v>
      </c>
      <c r="AA330" s="29">
        <v>0</v>
      </c>
      <c r="AB330" s="285" t="s">
        <v>226</v>
      </c>
    </row>
    <row r="331" spans="1:28" s="20" customFormat="1" x14ac:dyDescent="0.3">
      <c r="A331" s="38">
        <v>44890</v>
      </c>
      <c r="B331" s="39">
        <v>-0.4</v>
      </c>
      <c r="C331" s="14">
        <v>2.8</v>
      </c>
      <c r="D331" s="14">
        <v>1.9</v>
      </c>
      <c r="E331" s="14">
        <v>3.1</v>
      </c>
      <c r="F331" s="14">
        <v>-1.5</v>
      </c>
      <c r="G331" s="65">
        <f t="shared" si="25"/>
        <v>4.5999999999999996</v>
      </c>
      <c r="H331" s="65">
        <f t="shared" si="26"/>
        <v>1.5499999999999998</v>
      </c>
      <c r="I331" s="67">
        <v>1.2603472222222296</v>
      </c>
      <c r="J331" s="14">
        <v>2.2000000000000002</v>
      </c>
      <c r="K331" s="14">
        <v>-3</v>
      </c>
      <c r="L331" s="67">
        <v>4.8750000000000356E-2</v>
      </c>
      <c r="M331" s="73">
        <v>96.7</v>
      </c>
      <c r="N331" s="24">
        <v>84.2</v>
      </c>
      <c r="O331" s="69">
        <v>91.670069444444437</v>
      </c>
      <c r="P331" s="102">
        <v>1022.93288967188</v>
      </c>
      <c r="Q331" s="21">
        <v>1014.4355891229</v>
      </c>
      <c r="R331" s="56">
        <v>1018.9526343420038</v>
      </c>
      <c r="S331" s="61">
        <v>3.70000000296</v>
      </c>
      <c r="T331" s="51">
        <v>2.5366666686959993</v>
      </c>
      <c r="U331" s="25">
        <v>0.38934918378890693</v>
      </c>
      <c r="V331" s="192" t="s">
        <v>215</v>
      </c>
      <c r="W331" s="195"/>
      <c r="X331" s="26">
        <v>0</v>
      </c>
      <c r="Y331" s="27">
        <v>0</v>
      </c>
      <c r="Z331" s="28">
        <v>0</v>
      </c>
      <c r="AA331" s="29">
        <v>0</v>
      </c>
      <c r="AB331" s="285" t="s">
        <v>231</v>
      </c>
    </row>
    <row r="332" spans="1:28" s="20" customFormat="1" x14ac:dyDescent="0.3">
      <c r="A332" s="38">
        <v>44891</v>
      </c>
      <c r="B332" s="39">
        <v>2.8</v>
      </c>
      <c r="C332" s="14">
        <v>4.5999999999999996</v>
      </c>
      <c r="D332" s="14">
        <v>3.9</v>
      </c>
      <c r="E332" s="14">
        <v>5.4</v>
      </c>
      <c r="F332" s="14">
        <v>2.6</v>
      </c>
      <c r="G332" s="65">
        <f t="shared" si="25"/>
        <v>2.8000000000000003</v>
      </c>
      <c r="H332" s="65">
        <f t="shared" si="26"/>
        <v>3.8</v>
      </c>
      <c r="I332" s="67">
        <v>3.6305575158785981</v>
      </c>
      <c r="J332" s="14">
        <v>3.5</v>
      </c>
      <c r="K332" s="14">
        <v>2</v>
      </c>
      <c r="L332" s="67">
        <v>2.7191954834156702</v>
      </c>
      <c r="M332" s="73">
        <v>96.2</v>
      </c>
      <c r="N332" s="24">
        <v>87</v>
      </c>
      <c r="O332" s="69">
        <v>93.783909668313143</v>
      </c>
      <c r="P332" s="102">
        <v>1028.7228014263901</v>
      </c>
      <c r="Q332" s="21">
        <v>1022.45379090514</v>
      </c>
      <c r="R332" s="56">
        <v>1025.8608611663756</v>
      </c>
      <c r="S332" s="61">
        <v>3.70000000296</v>
      </c>
      <c r="T332" s="51">
        <v>2.2400000017920001</v>
      </c>
      <c r="U332" s="25">
        <v>0.68960755869121582</v>
      </c>
      <c r="V332" s="192" t="s">
        <v>211</v>
      </c>
      <c r="W332" s="195"/>
      <c r="X332" s="26">
        <v>0</v>
      </c>
      <c r="Y332" s="27">
        <v>0</v>
      </c>
      <c r="Z332" s="28">
        <v>0</v>
      </c>
      <c r="AA332" s="29">
        <v>0</v>
      </c>
      <c r="AB332" s="285" t="s">
        <v>460</v>
      </c>
    </row>
    <row r="333" spans="1:28" s="20" customFormat="1" x14ac:dyDescent="0.3">
      <c r="A333" s="38">
        <v>44892</v>
      </c>
      <c r="B333" s="39">
        <v>2.8</v>
      </c>
      <c r="C333" s="14">
        <v>5.7</v>
      </c>
      <c r="D333" s="14">
        <v>1</v>
      </c>
      <c r="E333" s="14">
        <v>5.7</v>
      </c>
      <c r="F333" s="14">
        <v>0.4</v>
      </c>
      <c r="G333" s="65">
        <f t="shared" si="25"/>
        <v>5.3</v>
      </c>
      <c r="H333" s="65">
        <f t="shared" si="26"/>
        <v>2.625</v>
      </c>
      <c r="I333" s="67">
        <v>3.0636805555555524</v>
      </c>
      <c r="J333" s="14">
        <v>3.4</v>
      </c>
      <c r="K333" s="14">
        <v>-0.4</v>
      </c>
      <c r="L333" s="67">
        <v>1.7945138888888961</v>
      </c>
      <c r="M333" s="73">
        <v>97.1</v>
      </c>
      <c r="N333" s="24">
        <v>81</v>
      </c>
      <c r="O333" s="69">
        <v>91.510347222222293</v>
      </c>
      <c r="P333" s="102">
        <v>1029.88443356682</v>
      </c>
      <c r="Q333" s="21">
        <v>1026.6692179327999</v>
      </c>
      <c r="R333" s="56">
        <v>1028.4788037816015</v>
      </c>
      <c r="S333" s="61">
        <v>2.4000000019200001</v>
      </c>
      <c r="T333" s="51">
        <v>1.720000001376</v>
      </c>
      <c r="U333" s="25">
        <v>0.40081947489284059</v>
      </c>
      <c r="V333" s="192" t="s">
        <v>215</v>
      </c>
      <c r="W333" s="195"/>
      <c r="X333" s="26">
        <v>0</v>
      </c>
      <c r="Y333" s="27">
        <v>0</v>
      </c>
      <c r="Z333" s="28">
        <v>0</v>
      </c>
      <c r="AA333" s="29">
        <v>0</v>
      </c>
      <c r="AB333" s="285" t="s">
        <v>449</v>
      </c>
    </row>
    <row r="334" spans="1:28" s="20" customFormat="1" x14ac:dyDescent="0.3">
      <c r="A334" s="38">
        <v>44893</v>
      </c>
      <c r="B334" s="39">
        <v>0.3</v>
      </c>
      <c r="C334" s="14">
        <v>5.6</v>
      </c>
      <c r="D334" s="14">
        <v>-3.1</v>
      </c>
      <c r="E334" s="14">
        <v>5.9</v>
      </c>
      <c r="F334" s="14">
        <v>-4</v>
      </c>
      <c r="G334" s="65">
        <f t="shared" si="25"/>
        <v>9.9</v>
      </c>
      <c r="H334" s="65">
        <f t="shared" si="26"/>
        <v>-7.5000000000000178E-2</v>
      </c>
      <c r="I334" s="67">
        <v>0.44458333333333117</v>
      </c>
      <c r="J334" s="14">
        <v>3</v>
      </c>
      <c r="K334" s="14">
        <v>-4.7</v>
      </c>
      <c r="L334" s="67">
        <v>-0.66374999999999884</v>
      </c>
      <c r="M334" s="73">
        <v>97.2</v>
      </c>
      <c r="N334" s="24">
        <v>75.900000000000006</v>
      </c>
      <c r="O334" s="69">
        <v>92.417430555555356</v>
      </c>
      <c r="P334" s="102">
        <v>1026.8920636293401</v>
      </c>
      <c r="Q334" s="21">
        <v>1022.10819390618</v>
      </c>
      <c r="R334" s="56">
        <v>1024.0288046957173</v>
      </c>
      <c r="S334" s="61">
        <v>2.7000000021599999</v>
      </c>
      <c r="T334" s="51">
        <v>1.7050000013639999</v>
      </c>
      <c r="U334" s="25">
        <v>0.39094858829248491</v>
      </c>
      <c r="V334" s="192" t="s">
        <v>213</v>
      </c>
      <c r="W334" s="195"/>
      <c r="X334" s="26">
        <v>0</v>
      </c>
      <c r="Y334" s="27">
        <v>0</v>
      </c>
      <c r="Z334" s="28">
        <v>0</v>
      </c>
      <c r="AA334" s="29">
        <v>0</v>
      </c>
      <c r="AB334" s="285" t="s">
        <v>228</v>
      </c>
    </row>
    <row r="335" spans="1:28" s="20" customFormat="1" x14ac:dyDescent="0.3">
      <c r="A335" s="38">
        <v>44894</v>
      </c>
      <c r="B335" s="39">
        <v>-4.5</v>
      </c>
      <c r="C335" s="14">
        <v>0.5</v>
      </c>
      <c r="D335" s="14">
        <v>-1.5</v>
      </c>
      <c r="E335" s="14">
        <v>0.7</v>
      </c>
      <c r="F335" s="14">
        <v>-4.9000000000000004</v>
      </c>
      <c r="G335" s="65">
        <f t="shared" si="25"/>
        <v>5.6000000000000005</v>
      </c>
      <c r="H335" s="65">
        <f t="shared" si="26"/>
        <v>-1.75</v>
      </c>
      <c r="I335" s="67">
        <v>-1.7703472222222272</v>
      </c>
      <c r="J335" s="14">
        <v>0.3</v>
      </c>
      <c r="K335" s="14">
        <v>-5.6</v>
      </c>
      <c r="L335" s="67">
        <v>-2.262291666666671</v>
      </c>
      <c r="M335" s="73">
        <v>97.7</v>
      </c>
      <c r="N335" s="24">
        <v>94.6</v>
      </c>
      <c r="O335" s="69">
        <v>96.416111111111263</v>
      </c>
      <c r="P335" s="102">
        <v>1025.25662102657</v>
      </c>
      <c r="Q335" s="21">
        <v>1022.43354950171</v>
      </c>
      <c r="R335" s="56">
        <v>1023.9450539822044</v>
      </c>
      <c r="S335" s="61">
        <v>2.0000000016000001</v>
      </c>
      <c r="T335" s="51">
        <v>1.1166666675600001</v>
      </c>
      <c r="U335" s="25">
        <v>0.23677745683682239</v>
      </c>
      <c r="V335" s="192" t="s">
        <v>213</v>
      </c>
      <c r="W335" s="195"/>
      <c r="X335" s="26">
        <v>0</v>
      </c>
      <c r="Y335" s="27">
        <v>0</v>
      </c>
      <c r="Z335" s="28">
        <v>0</v>
      </c>
      <c r="AA335" s="29">
        <v>0</v>
      </c>
      <c r="AB335" s="285" t="s">
        <v>461</v>
      </c>
    </row>
    <row r="336" spans="1:28" s="281" customFormat="1" ht="15" thickBot="1" x14ac:dyDescent="0.35">
      <c r="A336" s="38">
        <v>44895</v>
      </c>
      <c r="B336" s="40">
        <v>-4.9000000000000004</v>
      </c>
      <c r="C336" s="22">
        <v>1.9</v>
      </c>
      <c r="D336" s="22">
        <v>-1.5</v>
      </c>
      <c r="E336" s="22">
        <v>2.6</v>
      </c>
      <c r="F336" s="22">
        <v>-5.5</v>
      </c>
      <c r="G336" s="280">
        <f t="shared" si="25"/>
        <v>8.1</v>
      </c>
      <c r="H336" s="280">
        <f>(B336+C336+2*D336)/4</f>
        <v>-1.5</v>
      </c>
      <c r="I336" s="68">
        <v>-1.5159722222222276</v>
      </c>
      <c r="J336" s="22">
        <v>1.8</v>
      </c>
      <c r="K336" s="22">
        <v>-5.9</v>
      </c>
      <c r="L336" s="68">
        <v>-2.2857638888888911</v>
      </c>
      <c r="M336" s="74">
        <v>98.3</v>
      </c>
      <c r="N336" s="57">
        <v>88.1</v>
      </c>
      <c r="O336" s="70">
        <v>94.509166666666587</v>
      </c>
      <c r="P336" s="103">
        <v>1026.6711330425501</v>
      </c>
      <c r="Q336" s="58">
        <v>1024.55771696701</v>
      </c>
      <c r="R336" s="59">
        <v>1025.5668416639066</v>
      </c>
      <c r="S336" s="63">
        <v>4.4000000035199998</v>
      </c>
      <c r="T336" s="53">
        <v>2.8233333355919994</v>
      </c>
      <c r="U336" s="41">
        <v>0.8316799427363043</v>
      </c>
      <c r="V336" s="196" t="s">
        <v>215</v>
      </c>
      <c r="W336" s="197"/>
      <c r="X336" s="43">
        <v>0</v>
      </c>
      <c r="Y336" s="44">
        <v>0</v>
      </c>
      <c r="Z336" s="45">
        <v>0</v>
      </c>
      <c r="AA336" s="46">
        <v>0</v>
      </c>
      <c r="AB336" s="286" t="s">
        <v>274</v>
      </c>
    </row>
    <row r="337" spans="1:28" s="375" customFormat="1" x14ac:dyDescent="0.3">
      <c r="A337" s="38">
        <v>44896</v>
      </c>
      <c r="B337" s="344">
        <v>0.5</v>
      </c>
      <c r="C337" s="345">
        <v>2.7</v>
      </c>
      <c r="D337" s="345">
        <v>1.1000000000000001</v>
      </c>
      <c r="E337" s="345">
        <v>3.1</v>
      </c>
      <c r="F337" s="345">
        <v>-3</v>
      </c>
      <c r="G337" s="346">
        <f t="shared" si="25"/>
        <v>6.1</v>
      </c>
      <c r="H337" s="346">
        <f>(B337+C337+2*D337)/4</f>
        <v>1.35</v>
      </c>
      <c r="I337" s="347">
        <v>0.79819444444444532</v>
      </c>
      <c r="J337" s="345">
        <v>1.4</v>
      </c>
      <c r="K337" s="345">
        <v>-3.6</v>
      </c>
      <c r="L337" s="347">
        <v>-0.53770833333333357</v>
      </c>
      <c r="M337" s="348">
        <v>97.2</v>
      </c>
      <c r="N337" s="349">
        <v>85.4</v>
      </c>
      <c r="O337" s="350">
        <v>90.874861111111031</v>
      </c>
      <c r="P337" s="351">
        <v>1025.95389772006</v>
      </c>
      <c r="Q337" s="352">
        <v>1024.0102651329701</v>
      </c>
      <c r="R337" s="353">
        <v>1024.6924017489439</v>
      </c>
      <c r="S337" s="317">
        <v>7.5000000059999996</v>
      </c>
      <c r="T337" s="354">
        <v>3.6566666695920005</v>
      </c>
      <c r="U337" s="318">
        <v>1.7249210987336643</v>
      </c>
      <c r="V337" s="319" t="s">
        <v>215</v>
      </c>
      <c r="W337" s="355"/>
      <c r="X337" s="356">
        <v>0</v>
      </c>
      <c r="Y337" s="357">
        <v>0</v>
      </c>
      <c r="Z337" s="358">
        <v>0</v>
      </c>
      <c r="AA337" s="359">
        <v>0</v>
      </c>
      <c r="AB337" s="360" t="s">
        <v>226</v>
      </c>
    </row>
    <row r="338" spans="1:28" x14ac:dyDescent="0.3">
      <c r="A338" s="38">
        <v>44897</v>
      </c>
      <c r="B338" s="39">
        <v>-0.2</v>
      </c>
      <c r="C338" s="14">
        <v>2.1</v>
      </c>
      <c r="D338" s="14">
        <v>0.9</v>
      </c>
      <c r="E338" s="14">
        <v>2.2999999999999998</v>
      </c>
      <c r="F338" s="14">
        <v>-0.3</v>
      </c>
      <c r="G338" s="65">
        <f t="shared" si="25"/>
        <v>2.5999999999999996</v>
      </c>
      <c r="H338" s="65">
        <f t="shared" ref="H338:H365" si="27">(B338+C338+2*D338)/4</f>
        <v>0.92500000000000004</v>
      </c>
      <c r="I338" s="67">
        <v>0.79354166666666481</v>
      </c>
      <c r="J338" s="14">
        <v>0.2</v>
      </c>
      <c r="K338" s="14">
        <v>-1.8</v>
      </c>
      <c r="L338" s="67">
        <v>-0.80993055555555871</v>
      </c>
      <c r="M338" s="73">
        <v>92.2</v>
      </c>
      <c r="N338" s="24">
        <v>84.9</v>
      </c>
      <c r="O338" s="69">
        <v>88.997569444444451</v>
      </c>
      <c r="P338" s="102">
        <v>1024.9189207705699</v>
      </c>
      <c r="Q338" s="21">
        <v>1023.24038753471</v>
      </c>
      <c r="R338" s="56">
        <v>1024.0391652053877</v>
      </c>
      <c r="S338" s="61">
        <v>5.10000000408</v>
      </c>
      <c r="T338" s="51">
        <v>3.4416666694200004</v>
      </c>
      <c r="U338" s="25">
        <v>1.2681993734499932</v>
      </c>
      <c r="V338" s="192" t="s">
        <v>253</v>
      </c>
      <c r="W338" s="193" t="s">
        <v>265</v>
      </c>
      <c r="X338" s="16">
        <v>0</v>
      </c>
      <c r="Y338" s="17">
        <v>0</v>
      </c>
      <c r="Z338" s="18">
        <v>0</v>
      </c>
      <c r="AA338" s="42">
        <v>0</v>
      </c>
      <c r="AB338" s="284" t="s">
        <v>462</v>
      </c>
    </row>
    <row r="339" spans="1:28" x14ac:dyDescent="0.3">
      <c r="A339" s="38">
        <v>44898</v>
      </c>
      <c r="B339" s="39">
        <v>0.1</v>
      </c>
      <c r="C339" s="14">
        <v>7.4</v>
      </c>
      <c r="D339" s="14">
        <v>-1.8</v>
      </c>
      <c r="E339" s="14">
        <v>7.6</v>
      </c>
      <c r="F339" s="14">
        <v>-2.2999999999999998</v>
      </c>
      <c r="G339" s="65">
        <f t="shared" si="25"/>
        <v>9.8999999999999986</v>
      </c>
      <c r="H339" s="65">
        <f t="shared" si="27"/>
        <v>0.97499999999999998</v>
      </c>
      <c r="I339" s="67">
        <v>1.3984027777777761</v>
      </c>
      <c r="J339" s="14">
        <v>4.4000000000000004</v>
      </c>
      <c r="K339" s="14">
        <v>-2.9</v>
      </c>
      <c r="L339" s="67">
        <v>9.3611111111110076E-2</v>
      </c>
      <c r="M339" s="73">
        <v>96.4</v>
      </c>
      <c r="N339" s="24">
        <v>77.599999999999994</v>
      </c>
      <c r="O339" s="69">
        <v>91.252916666666877</v>
      </c>
      <c r="P339" s="102">
        <v>1026.4019208575501</v>
      </c>
      <c r="Q339" s="21">
        <v>1024.13677447294</v>
      </c>
      <c r="R339" s="56">
        <v>1025.2677332085611</v>
      </c>
      <c r="S339" s="61">
        <v>2.7000000021599999</v>
      </c>
      <c r="T339" s="51">
        <v>1.5500000012399999</v>
      </c>
      <c r="U339" s="25">
        <v>0.36151427218084498</v>
      </c>
      <c r="V339" s="192" t="s">
        <v>213</v>
      </c>
      <c r="W339" s="193"/>
      <c r="X339" s="16">
        <v>0</v>
      </c>
      <c r="Y339" s="17">
        <v>0</v>
      </c>
      <c r="Z339" s="18">
        <v>0</v>
      </c>
      <c r="AA339" s="42">
        <v>0</v>
      </c>
      <c r="AB339" s="284" t="s">
        <v>221</v>
      </c>
    </row>
    <row r="340" spans="1:28" x14ac:dyDescent="0.3">
      <c r="A340" s="38">
        <v>44899</v>
      </c>
      <c r="B340" s="39">
        <v>-1.5</v>
      </c>
      <c r="C340" s="14">
        <v>7.7</v>
      </c>
      <c r="D340" s="14">
        <v>-2</v>
      </c>
      <c r="E340" s="14">
        <v>8.8000000000000007</v>
      </c>
      <c r="F340" s="14">
        <v>-2.6</v>
      </c>
      <c r="G340" s="65">
        <f t="shared" si="25"/>
        <v>11.4</v>
      </c>
      <c r="H340" s="65">
        <f t="shared" si="27"/>
        <v>0.55000000000000004</v>
      </c>
      <c r="I340" s="67">
        <v>0.40465277777777836</v>
      </c>
      <c r="J340" s="14">
        <v>5.7</v>
      </c>
      <c r="K340" s="14">
        <v>-3.2</v>
      </c>
      <c r="L340" s="67">
        <v>-0.51972222222222053</v>
      </c>
      <c r="M340" s="73">
        <v>97.9</v>
      </c>
      <c r="N340" s="24">
        <v>79.2</v>
      </c>
      <c r="O340" s="69">
        <v>93.715486111111019</v>
      </c>
      <c r="P340" s="102">
        <v>1026.0397322408</v>
      </c>
      <c r="Q340" s="21">
        <v>1022.00440522351</v>
      </c>
      <c r="R340" s="56">
        <v>1024.2699357813319</v>
      </c>
      <c r="S340" s="62">
        <v>2.7000000021599999</v>
      </c>
      <c r="T340" s="52">
        <v>1.8700000014960001</v>
      </c>
      <c r="U340" s="19">
        <v>0.44551699240268733</v>
      </c>
      <c r="V340" s="192" t="s">
        <v>213</v>
      </c>
      <c r="W340" s="194"/>
      <c r="X340" s="16">
        <v>0</v>
      </c>
      <c r="Y340" s="17">
        <v>0</v>
      </c>
      <c r="Z340" s="18">
        <v>0</v>
      </c>
      <c r="AA340" s="42">
        <v>0</v>
      </c>
      <c r="AB340" s="284" t="s">
        <v>320</v>
      </c>
    </row>
    <row r="341" spans="1:28" x14ac:dyDescent="0.3">
      <c r="A341" s="38">
        <v>44900</v>
      </c>
      <c r="B341" s="39">
        <v>0.7</v>
      </c>
      <c r="C341" s="14">
        <v>5.2</v>
      </c>
      <c r="D341" s="14">
        <v>5.6</v>
      </c>
      <c r="E341" s="14">
        <v>5.9</v>
      </c>
      <c r="F341" s="14">
        <v>-1.7</v>
      </c>
      <c r="G341" s="65">
        <f t="shared" si="25"/>
        <v>7.6000000000000005</v>
      </c>
      <c r="H341" s="65">
        <f t="shared" si="27"/>
        <v>4.2750000000000004</v>
      </c>
      <c r="I341" s="67">
        <v>3.224236111111102</v>
      </c>
      <c r="J341" s="14">
        <v>4.8</v>
      </c>
      <c r="K341" s="14">
        <v>-2.2000000000000002</v>
      </c>
      <c r="L341" s="67">
        <v>2.5100694444444467</v>
      </c>
      <c r="M341" s="73">
        <v>98.7</v>
      </c>
      <c r="N341" s="24">
        <v>90.1</v>
      </c>
      <c r="O341" s="69">
        <v>95.123472222222375</v>
      </c>
      <c r="P341" s="102">
        <v>1024.2113040469801</v>
      </c>
      <c r="Q341" s="21">
        <v>1019.88878744796</v>
      </c>
      <c r="R341" s="56">
        <v>1022.6299387186584</v>
      </c>
      <c r="S341" s="61">
        <v>8.2000000065599998</v>
      </c>
      <c r="T341" s="51">
        <v>4.3800000035039997</v>
      </c>
      <c r="U341" s="25">
        <v>1.4903757587680631</v>
      </c>
      <c r="V341" s="192" t="s">
        <v>211</v>
      </c>
      <c r="W341" s="194" t="s">
        <v>210</v>
      </c>
      <c r="X341" s="16">
        <v>6</v>
      </c>
      <c r="Y341" s="17">
        <v>0.1</v>
      </c>
      <c r="Z341" s="18">
        <v>0</v>
      </c>
      <c r="AA341" s="42">
        <v>0</v>
      </c>
      <c r="AB341" s="284" t="s">
        <v>451</v>
      </c>
    </row>
    <row r="342" spans="1:28" x14ac:dyDescent="0.3">
      <c r="A342" s="38">
        <v>44901</v>
      </c>
      <c r="B342" s="39">
        <v>5.3</v>
      </c>
      <c r="C342" s="14">
        <v>5.4</v>
      </c>
      <c r="D342" s="14">
        <v>4.5</v>
      </c>
      <c r="E342" s="14">
        <v>6.3</v>
      </c>
      <c r="F342" s="14">
        <v>2.5</v>
      </c>
      <c r="G342" s="65">
        <f t="shared" si="25"/>
        <v>3.8</v>
      </c>
      <c r="H342" s="65">
        <f t="shared" si="27"/>
        <v>4.9249999999999998</v>
      </c>
      <c r="I342" s="67">
        <v>5.1406944444444482</v>
      </c>
      <c r="J342" s="14">
        <v>4.7</v>
      </c>
      <c r="K342" s="14">
        <v>1.6</v>
      </c>
      <c r="L342" s="67">
        <v>3.8863888888888929</v>
      </c>
      <c r="M342" s="73">
        <v>95.2</v>
      </c>
      <c r="N342" s="24">
        <v>86.7</v>
      </c>
      <c r="O342" s="69">
        <v>91.611319444444661</v>
      </c>
      <c r="P342" s="102">
        <v>1020.19595202605</v>
      </c>
      <c r="Q342" s="21">
        <v>1011.06670831158</v>
      </c>
      <c r="R342" s="56">
        <v>1014.3009725736523</v>
      </c>
      <c r="S342" s="61">
        <v>7.1000000056800001</v>
      </c>
      <c r="T342" s="51">
        <v>4.6133333370239997</v>
      </c>
      <c r="U342" s="25">
        <v>1.848900967662694</v>
      </c>
      <c r="V342" s="192" t="s">
        <v>211</v>
      </c>
      <c r="W342" s="194" t="s">
        <v>210</v>
      </c>
      <c r="X342" s="16">
        <v>12</v>
      </c>
      <c r="Y342" s="17">
        <v>2.1</v>
      </c>
      <c r="Z342" s="18">
        <v>0</v>
      </c>
      <c r="AA342" s="42">
        <v>0</v>
      </c>
      <c r="AB342" s="284" t="s">
        <v>226</v>
      </c>
    </row>
    <row r="343" spans="1:28" x14ac:dyDescent="0.3">
      <c r="A343" s="38">
        <v>44902</v>
      </c>
      <c r="B343" s="39">
        <v>1.2</v>
      </c>
      <c r="C343" s="14">
        <v>2.1</v>
      </c>
      <c r="D343" s="14">
        <v>2.1</v>
      </c>
      <c r="E343" s="14">
        <v>2.6</v>
      </c>
      <c r="F343" s="14">
        <v>0.4</v>
      </c>
      <c r="G343" s="65">
        <f t="shared" si="25"/>
        <v>2.2000000000000002</v>
      </c>
      <c r="H343" s="65">
        <f t="shared" si="27"/>
        <v>1.875</v>
      </c>
      <c r="I343" s="67">
        <v>1.7844444444444314</v>
      </c>
      <c r="J343" s="14">
        <v>2.1</v>
      </c>
      <c r="K343" s="14">
        <v>-0.1</v>
      </c>
      <c r="L343" s="67">
        <v>1.1898611111111064</v>
      </c>
      <c r="M343" s="73">
        <v>97.3</v>
      </c>
      <c r="N343" s="24">
        <v>94</v>
      </c>
      <c r="O343" s="69">
        <v>95.836458333333837</v>
      </c>
      <c r="P343" s="102">
        <v>1013.65157305073</v>
      </c>
      <c r="Q343" s="21">
        <v>1011.26618707946</v>
      </c>
      <c r="R343" s="56">
        <v>1012.0480933781215</v>
      </c>
      <c r="S343" s="61">
        <v>4.4000000035199998</v>
      </c>
      <c r="T343" s="51">
        <v>2.8233333355919994</v>
      </c>
      <c r="U343" s="25">
        <v>0.88545432705206129</v>
      </c>
      <c r="V343" s="192" t="s">
        <v>252</v>
      </c>
      <c r="W343" s="194" t="s">
        <v>210</v>
      </c>
      <c r="X343" s="16">
        <v>6</v>
      </c>
      <c r="Y343" s="17">
        <v>1.3</v>
      </c>
      <c r="Z343" s="18">
        <v>0</v>
      </c>
      <c r="AA343" s="42">
        <v>0</v>
      </c>
      <c r="AB343" s="284" t="s">
        <v>228</v>
      </c>
    </row>
    <row r="344" spans="1:28" x14ac:dyDescent="0.3">
      <c r="A344" s="38">
        <v>44903</v>
      </c>
      <c r="B344" s="39">
        <v>-0.2</v>
      </c>
      <c r="C344" s="14">
        <v>1.8</v>
      </c>
      <c r="D344" s="14">
        <v>0.2</v>
      </c>
      <c r="E344" s="14">
        <v>1.9</v>
      </c>
      <c r="F344" s="14">
        <v>-0.8</v>
      </c>
      <c r="G344" s="65">
        <f t="shared" si="25"/>
        <v>2.7</v>
      </c>
      <c r="H344" s="65">
        <f t="shared" si="27"/>
        <v>0.5</v>
      </c>
      <c r="I344" s="67">
        <v>0.44909722222222936</v>
      </c>
      <c r="J344" s="14">
        <v>0.8</v>
      </c>
      <c r="K344" s="14">
        <v>-1.2</v>
      </c>
      <c r="L344" s="67">
        <v>-0.19965277777777773</v>
      </c>
      <c r="M344" s="73">
        <v>97.5</v>
      </c>
      <c r="N344" s="24">
        <v>90.6</v>
      </c>
      <c r="O344" s="69">
        <v>95.401249999999933</v>
      </c>
      <c r="P344" s="102">
        <v>1015.71374372741</v>
      </c>
      <c r="Q344" s="21">
        <v>1010.41805109673</v>
      </c>
      <c r="R344" s="56">
        <v>1013.5592887976458</v>
      </c>
      <c r="S344" s="61">
        <v>6.5000000052000004</v>
      </c>
      <c r="T344" s="51">
        <v>4.3033333367760003</v>
      </c>
      <c r="U344" s="25">
        <v>1.2024310604684756</v>
      </c>
      <c r="V344" s="192" t="s">
        <v>252</v>
      </c>
      <c r="W344" s="194" t="s">
        <v>240</v>
      </c>
      <c r="X344" s="16">
        <v>6</v>
      </c>
      <c r="Y344" s="17">
        <v>0.1</v>
      </c>
      <c r="Z344" s="18">
        <v>0</v>
      </c>
      <c r="AA344" s="42">
        <v>0</v>
      </c>
      <c r="AB344" s="284" t="s">
        <v>218</v>
      </c>
    </row>
    <row r="345" spans="1:28" x14ac:dyDescent="0.3">
      <c r="A345" s="38">
        <v>44904</v>
      </c>
      <c r="B345" s="39">
        <v>0.5</v>
      </c>
      <c r="C345" s="14">
        <v>3.3</v>
      </c>
      <c r="D345" s="14">
        <v>2.7</v>
      </c>
      <c r="E345" s="14">
        <v>3.6</v>
      </c>
      <c r="F345" s="14">
        <v>0.1</v>
      </c>
      <c r="G345" s="65">
        <f t="shared" si="25"/>
        <v>3.5</v>
      </c>
      <c r="H345" s="65">
        <f t="shared" si="27"/>
        <v>2.2999999999999998</v>
      </c>
      <c r="I345" s="67">
        <v>2.0201388888888689</v>
      </c>
      <c r="J345" s="14">
        <v>2.9</v>
      </c>
      <c r="K345" s="14">
        <v>-0.4</v>
      </c>
      <c r="L345" s="67">
        <v>1.4507638888888901</v>
      </c>
      <c r="M345" s="73">
        <v>98.2</v>
      </c>
      <c r="N345" s="24">
        <v>88.8</v>
      </c>
      <c r="O345" s="69">
        <v>96.025416666666288</v>
      </c>
      <c r="P345" s="102">
        <v>1010.72535585679</v>
      </c>
      <c r="Q345" s="21">
        <v>1000.1189546883199</v>
      </c>
      <c r="R345" s="56">
        <v>1007.2793840502699</v>
      </c>
      <c r="S345" s="61">
        <v>6.8000000054400003</v>
      </c>
      <c r="T345" s="51">
        <v>4.3400000034719994</v>
      </c>
      <c r="U345" s="25">
        <v>0.56898550770155809</v>
      </c>
      <c r="V345" s="192" t="s">
        <v>213</v>
      </c>
      <c r="W345" s="194" t="s">
        <v>210</v>
      </c>
      <c r="X345" s="16">
        <v>12</v>
      </c>
      <c r="Y345" s="17">
        <v>11.1</v>
      </c>
      <c r="Z345" s="18">
        <v>0</v>
      </c>
      <c r="AA345" s="42">
        <v>0</v>
      </c>
      <c r="AB345" s="284" t="s">
        <v>445</v>
      </c>
    </row>
    <row r="346" spans="1:28" x14ac:dyDescent="0.3">
      <c r="A346" s="38">
        <v>44905</v>
      </c>
      <c r="B346" s="39">
        <v>3.5</v>
      </c>
      <c r="C346" s="14">
        <v>2.8</v>
      </c>
      <c r="D346" s="14">
        <v>0.3</v>
      </c>
      <c r="E346" s="14">
        <v>4.5999999999999996</v>
      </c>
      <c r="F346" s="14">
        <v>0</v>
      </c>
      <c r="G346" s="65">
        <f t="shared" si="25"/>
        <v>4.5999999999999996</v>
      </c>
      <c r="H346" s="65">
        <f t="shared" si="27"/>
        <v>1.7249999999999999</v>
      </c>
      <c r="I346" s="67">
        <v>2.3765580736543974</v>
      </c>
      <c r="J346" s="14">
        <v>3.5</v>
      </c>
      <c r="K346" s="14">
        <v>-0.4</v>
      </c>
      <c r="L346" s="67">
        <v>1.8860481586402329</v>
      </c>
      <c r="M346" s="73">
        <v>98.5</v>
      </c>
      <c r="N346" s="24">
        <v>92.1</v>
      </c>
      <c r="O346" s="69">
        <v>96.547733711048153</v>
      </c>
      <c r="P346" s="102">
        <v>1003.4906198897</v>
      </c>
      <c r="Q346" s="21">
        <v>998.88148201507795</v>
      </c>
      <c r="R346" s="56">
        <v>1001.7610810328486</v>
      </c>
      <c r="S346" s="61">
        <v>5.8000000046400002</v>
      </c>
      <c r="T346" s="51">
        <v>2.943333335688</v>
      </c>
      <c r="U346" s="25">
        <v>1.1237564968158535</v>
      </c>
      <c r="V346" s="192" t="s">
        <v>215</v>
      </c>
      <c r="W346" s="194" t="s">
        <v>240</v>
      </c>
      <c r="X346" s="16">
        <v>12</v>
      </c>
      <c r="Y346" s="17">
        <v>24.2</v>
      </c>
      <c r="Z346" s="18">
        <v>0</v>
      </c>
      <c r="AA346" s="42">
        <v>0</v>
      </c>
      <c r="AB346" s="284" t="s">
        <v>226</v>
      </c>
    </row>
    <row r="347" spans="1:28" x14ac:dyDescent="0.3">
      <c r="A347" s="38">
        <v>44906</v>
      </c>
      <c r="B347" s="39">
        <v>-1.1000000000000001</v>
      </c>
      <c r="C347" s="14">
        <v>0.5</v>
      </c>
      <c r="D347" s="14">
        <v>-1.7</v>
      </c>
      <c r="E347" s="14">
        <v>2</v>
      </c>
      <c r="F347" s="14">
        <v>-2.8</v>
      </c>
      <c r="G347" s="65">
        <f t="shared" si="25"/>
        <v>4.8</v>
      </c>
      <c r="H347" s="65">
        <f t="shared" si="27"/>
        <v>-1</v>
      </c>
      <c r="I347" s="67">
        <v>-0.88847222222222622</v>
      </c>
      <c r="J347" s="14">
        <v>0.7</v>
      </c>
      <c r="K347" s="14">
        <v>-3.7</v>
      </c>
      <c r="L347" s="67">
        <v>-1.8304166666666668</v>
      </c>
      <c r="M347" s="73">
        <v>97.4</v>
      </c>
      <c r="N347" s="24">
        <v>84.2</v>
      </c>
      <c r="O347" s="69">
        <v>93.390069444444251</v>
      </c>
      <c r="P347" s="102">
        <v>1002.93227827328</v>
      </c>
      <c r="Q347" s="21">
        <v>996.40506541320406</v>
      </c>
      <c r="R347" s="56">
        <v>999.48530946328731</v>
      </c>
      <c r="S347" s="61">
        <v>7.5000000059999996</v>
      </c>
      <c r="T347" s="51">
        <v>3.5966666695440006</v>
      </c>
      <c r="U347" s="25">
        <v>2.017827405096464</v>
      </c>
      <c r="V347" s="192" t="s">
        <v>215</v>
      </c>
      <c r="W347" s="194" t="s">
        <v>232</v>
      </c>
      <c r="X347" s="16">
        <v>6</v>
      </c>
      <c r="Y347" s="17">
        <v>2</v>
      </c>
      <c r="Z347" s="18">
        <v>31</v>
      </c>
      <c r="AA347" s="42">
        <v>31</v>
      </c>
      <c r="AB347" s="284" t="s">
        <v>463</v>
      </c>
    </row>
    <row r="348" spans="1:28" x14ac:dyDescent="0.3">
      <c r="A348" s="38">
        <v>44907</v>
      </c>
      <c r="B348" s="39">
        <v>-3.5</v>
      </c>
      <c r="C348" s="14">
        <v>-0.1</v>
      </c>
      <c r="D348" s="14">
        <v>-2.7</v>
      </c>
      <c r="E348" s="14">
        <v>2.1</v>
      </c>
      <c r="F348" s="14">
        <v>-3.7</v>
      </c>
      <c r="G348" s="65">
        <f t="shared" si="25"/>
        <v>5.8000000000000007</v>
      </c>
      <c r="H348" s="65">
        <f t="shared" si="27"/>
        <v>-2.25</v>
      </c>
      <c r="I348" s="67">
        <v>-2.1985416666666402</v>
      </c>
      <c r="J348" s="14">
        <v>-0.2</v>
      </c>
      <c r="K348" s="14">
        <v>-4.3</v>
      </c>
      <c r="L348" s="67">
        <v>-3.153958333333327</v>
      </c>
      <c r="M348" s="73">
        <v>98.1</v>
      </c>
      <c r="N348" s="24">
        <v>80.099999999999994</v>
      </c>
      <c r="O348" s="69">
        <v>93.245138888889286</v>
      </c>
      <c r="P348" s="102">
        <v>1009.23446732486</v>
      </c>
      <c r="Q348" s="21">
        <v>1002.72199527313</v>
      </c>
      <c r="R348" s="56">
        <v>1004.902402336864</v>
      </c>
      <c r="S348" s="61">
        <v>2.4000000019200001</v>
      </c>
      <c r="T348" s="51">
        <v>1.3700000010960003</v>
      </c>
      <c r="U348" s="25">
        <v>0.3920164016643144</v>
      </c>
      <c r="V348" s="192" t="s">
        <v>211</v>
      </c>
      <c r="W348" s="194" t="s">
        <v>232</v>
      </c>
      <c r="X348" s="16">
        <v>6</v>
      </c>
      <c r="Y348" s="17">
        <v>3</v>
      </c>
      <c r="Z348" s="18">
        <v>1.5</v>
      </c>
      <c r="AA348" s="42">
        <v>27</v>
      </c>
      <c r="AB348" s="284" t="s">
        <v>242</v>
      </c>
    </row>
    <row r="349" spans="1:28" x14ac:dyDescent="0.3">
      <c r="A349" s="38">
        <v>44908</v>
      </c>
      <c r="B349" s="39">
        <v>-3.7</v>
      </c>
      <c r="C349" s="14">
        <v>-2.5</v>
      </c>
      <c r="D349" s="14">
        <v>-5.2</v>
      </c>
      <c r="E349" s="14">
        <v>-1.7</v>
      </c>
      <c r="F349" s="14">
        <v>-5.5</v>
      </c>
      <c r="G349" s="65">
        <f t="shared" si="25"/>
        <v>3.8</v>
      </c>
      <c r="H349" s="65">
        <f t="shared" si="27"/>
        <v>-4.1500000000000004</v>
      </c>
      <c r="I349" s="67">
        <v>-3.9694444444444525</v>
      </c>
      <c r="J349" s="14">
        <v>-3.1</v>
      </c>
      <c r="K349" s="14">
        <v>-6.2</v>
      </c>
      <c r="L349" s="67">
        <v>-4.8575694444444411</v>
      </c>
      <c r="M349" s="73">
        <v>96.3</v>
      </c>
      <c r="N349" s="24">
        <v>88.1</v>
      </c>
      <c r="O349" s="69">
        <v>93.522222222222183</v>
      </c>
      <c r="P349" s="102">
        <v>1015.50912316085</v>
      </c>
      <c r="Q349" s="21">
        <v>1008.9270862688199</v>
      </c>
      <c r="R349" s="56">
        <v>1012.893905111864</v>
      </c>
      <c r="S349" s="61">
        <v>4.4000000035199998</v>
      </c>
      <c r="T349" s="51">
        <v>3.0933333358080004</v>
      </c>
      <c r="U349" s="25">
        <v>0.94371069257887419</v>
      </c>
      <c r="V349" s="192" t="s">
        <v>211</v>
      </c>
      <c r="W349" s="195"/>
      <c r="X349" s="26">
        <v>0</v>
      </c>
      <c r="Y349" s="27">
        <v>0</v>
      </c>
      <c r="Z349" s="28">
        <v>0</v>
      </c>
      <c r="AA349" s="29">
        <v>25</v>
      </c>
      <c r="AB349" s="285" t="s">
        <v>242</v>
      </c>
    </row>
    <row r="350" spans="1:28" x14ac:dyDescent="0.3">
      <c r="A350" s="38">
        <v>44909</v>
      </c>
      <c r="B350" s="39">
        <v>-6.2</v>
      </c>
      <c r="C350" s="14">
        <v>-2.2000000000000002</v>
      </c>
      <c r="D350" s="14">
        <v>-2</v>
      </c>
      <c r="E350" s="14">
        <v>-1.4</v>
      </c>
      <c r="F350" s="14">
        <v>-6.7</v>
      </c>
      <c r="G350" s="65">
        <f t="shared" si="25"/>
        <v>5.3000000000000007</v>
      </c>
      <c r="H350" s="65">
        <f t="shared" si="27"/>
        <v>-3.1</v>
      </c>
      <c r="I350" s="67">
        <v>-3.7054166666666859</v>
      </c>
      <c r="J350" s="14">
        <v>-3.4</v>
      </c>
      <c r="K350" s="14">
        <v>-7.4</v>
      </c>
      <c r="L350" s="67">
        <v>-5.1288888888888904</v>
      </c>
      <c r="M350" s="73">
        <v>96.3</v>
      </c>
      <c r="N350" s="24">
        <v>81.099999999999994</v>
      </c>
      <c r="O350" s="69">
        <v>89.957777777777693</v>
      </c>
      <c r="P350" s="102">
        <v>1015.41590841481</v>
      </c>
      <c r="Q350" s="21">
        <v>1003.59420317315</v>
      </c>
      <c r="R350" s="56">
        <v>1010.8150038189441</v>
      </c>
      <c r="S350" s="61">
        <v>5.4000000043199998</v>
      </c>
      <c r="T350" s="51">
        <v>2.8733333356319997</v>
      </c>
      <c r="U350" s="25">
        <v>0.71578820755217509</v>
      </c>
      <c r="V350" s="192" t="s">
        <v>215</v>
      </c>
      <c r="W350" s="195" t="s">
        <v>227</v>
      </c>
      <c r="X350" s="26">
        <v>0</v>
      </c>
      <c r="Y350" s="27">
        <v>0</v>
      </c>
      <c r="Z350" s="28">
        <v>0</v>
      </c>
      <c r="AA350" s="29">
        <v>21</v>
      </c>
      <c r="AB350" s="285" t="s">
        <v>242</v>
      </c>
    </row>
    <row r="351" spans="1:28" x14ac:dyDescent="0.3">
      <c r="A351" s="38">
        <v>44910</v>
      </c>
      <c r="B351" s="39">
        <v>-0.7</v>
      </c>
      <c r="C351" s="14">
        <v>1.5</v>
      </c>
      <c r="D351" s="14">
        <v>0.3</v>
      </c>
      <c r="E351" s="14">
        <v>2.2000000000000002</v>
      </c>
      <c r="F351" s="14">
        <v>-1.8</v>
      </c>
      <c r="G351" s="65">
        <f t="shared" si="25"/>
        <v>4</v>
      </c>
      <c r="H351" s="65">
        <f t="shared" si="27"/>
        <v>0.35</v>
      </c>
      <c r="I351" s="67">
        <v>0.13277777777777966</v>
      </c>
      <c r="J351" s="14">
        <v>0.8</v>
      </c>
      <c r="K351" s="14">
        <v>-3.5</v>
      </c>
      <c r="L351" s="67">
        <v>-0.72513888888888345</v>
      </c>
      <c r="M351" s="73">
        <v>97.5</v>
      </c>
      <c r="N351" s="24">
        <v>87.8</v>
      </c>
      <c r="O351" s="69">
        <v>93.971249999999898</v>
      </c>
      <c r="P351" s="102">
        <v>1012.54255711132</v>
      </c>
      <c r="Q351" s="21">
        <v>1003.15771463894</v>
      </c>
      <c r="R351" s="56">
        <v>1008.7899335565126</v>
      </c>
      <c r="S351" s="61">
        <v>7.1000000056800001</v>
      </c>
      <c r="T351" s="51">
        <v>5.4900000043919999</v>
      </c>
      <c r="U351" s="25">
        <v>1.144640712283171</v>
      </c>
      <c r="V351" s="192" t="s">
        <v>211</v>
      </c>
      <c r="W351" s="195" t="s">
        <v>210</v>
      </c>
      <c r="X351" s="26">
        <v>6</v>
      </c>
      <c r="Y351" s="27">
        <v>2.4</v>
      </c>
      <c r="Z351" s="28">
        <v>0</v>
      </c>
      <c r="AA351" s="29">
        <v>18</v>
      </c>
      <c r="AB351" s="285" t="s">
        <v>242</v>
      </c>
    </row>
    <row r="352" spans="1:28" x14ac:dyDescent="0.3">
      <c r="A352" s="38">
        <v>44911</v>
      </c>
      <c r="B352" s="39">
        <v>0.2</v>
      </c>
      <c r="C352" s="14">
        <v>1.5</v>
      </c>
      <c r="D352" s="14">
        <v>0.6</v>
      </c>
      <c r="E352" s="14">
        <v>1.6</v>
      </c>
      <c r="F352" s="14">
        <v>0.1</v>
      </c>
      <c r="G352" s="65">
        <f t="shared" si="25"/>
        <v>1.5</v>
      </c>
      <c r="H352" s="65">
        <f t="shared" si="27"/>
        <v>0.72499999999999998</v>
      </c>
      <c r="I352" s="67">
        <v>0.68222222222222317</v>
      </c>
      <c r="J352" s="14">
        <v>1.3</v>
      </c>
      <c r="K352" s="14">
        <v>-0.2</v>
      </c>
      <c r="L352" s="67">
        <v>0.3738888888888855</v>
      </c>
      <c r="M352" s="73">
        <v>98.9</v>
      </c>
      <c r="N352" s="24">
        <v>97</v>
      </c>
      <c r="O352" s="69">
        <v>97.774166666666858</v>
      </c>
      <c r="P352" s="102">
        <v>1011.72309930081</v>
      </c>
      <c r="Q352" s="21">
        <v>1003.47591545204</v>
      </c>
      <c r="R352" s="56">
        <v>1007.0773303329855</v>
      </c>
      <c r="S352" s="61">
        <v>4.4000000035199998</v>
      </c>
      <c r="T352" s="51">
        <v>2.1300000017039999</v>
      </c>
      <c r="U352" s="25">
        <v>0.30771739155052424</v>
      </c>
      <c r="V352" s="192" t="s">
        <v>215</v>
      </c>
      <c r="W352" s="195" t="s">
        <v>210</v>
      </c>
      <c r="X352" s="26">
        <v>12</v>
      </c>
      <c r="Y352" s="27">
        <v>3.7</v>
      </c>
      <c r="Z352" s="28">
        <v>0</v>
      </c>
      <c r="AA352" s="29">
        <v>14</v>
      </c>
      <c r="AB352" s="285" t="s">
        <v>464</v>
      </c>
    </row>
    <row r="353" spans="1:28" x14ac:dyDescent="0.3">
      <c r="A353" s="38">
        <v>44912</v>
      </c>
      <c r="B353" s="39">
        <v>-1.2</v>
      </c>
      <c r="C353" s="14">
        <v>-0.9</v>
      </c>
      <c r="D353" s="14">
        <v>-2.2000000000000002</v>
      </c>
      <c r="E353" s="14">
        <v>0.7</v>
      </c>
      <c r="F353" s="14">
        <v>-3</v>
      </c>
      <c r="G353" s="65">
        <f t="shared" si="25"/>
        <v>3.7</v>
      </c>
      <c r="H353" s="65">
        <f t="shared" si="27"/>
        <v>-1.625</v>
      </c>
      <c r="I353" s="67">
        <v>-1.3302083333333297</v>
      </c>
      <c r="J353" s="14">
        <v>0.1</v>
      </c>
      <c r="K353" s="14">
        <v>-4.4000000000000004</v>
      </c>
      <c r="L353" s="67">
        <v>-2.7661111111110985</v>
      </c>
      <c r="M353" s="73">
        <v>98.1</v>
      </c>
      <c r="N353" s="24">
        <v>78.099999999999994</v>
      </c>
      <c r="O353" s="69">
        <v>90.082222222222256</v>
      </c>
      <c r="P353" s="102">
        <v>1028.5810605719601</v>
      </c>
      <c r="Q353" s="21">
        <v>1011.3222288491201</v>
      </c>
      <c r="R353" s="56">
        <v>1018.6679158736058</v>
      </c>
      <c r="S353" s="61">
        <v>7.8000000062400003</v>
      </c>
      <c r="T353" s="51">
        <v>5.080000004063999</v>
      </c>
      <c r="U353" s="25">
        <v>1.71164483397484</v>
      </c>
      <c r="V353" s="192" t="s">
        <v>215</v>
      </c>
      <c r="W353" s="195" t="s">
        <v>232</v>
      </c>
      <c r="X353" s="26">
        <v>6</v>
      </c>
      <c r="Y353" s="27">
        <v>0.4</v>
      </c>
      <c r="Z353" s="28">
        <v>0.5</v>
      </c>
      <c r="AA353" s="29">
        <v>9</v>
      </c>
      <c r="AB353" s="285" t="s">
        <v>242</v>
      </c>
    </row>
    <row r="354" spans="1:28" x14ac:dyDescent="0.3">
      <c r="A354" s="38">
        <v>44913</v>
      </c>
      <c r="B354" s="39">
        <v>-4.5999999999999996</v>
      </c>
      <c r="C354" s="14">
        <v>-0.4</v>
      </c>
      <c r="D354" s="14">
        <v>-8.6999999999999993</v>
      </c>
      <c r="E354" s="14">
        <v>0.2</v>
      </c>
      <c r="F354" s="14">
        <v>-11.7</v>
      </c>
      <c r="G354" s="65">
        <f t="shared" si="25"/>
        <v>11.899999999999999</v>
      </c>
      <c r="H354" s="65">
        <f t="shared" si="27"/>
        <v>-5.6</v>
      </c>
      <c r="I354" s="67">
        <v>-4.3011805555555513</v>
      </c>
      <c r="J354" s="14">
        <v>-3.9</v>
      </c>
      <c r="K354" s="14">
        <v>-12.9</v>
      </c>
      <c r="L354" s="67">
        <v>-6.8659027777777899</v>
      </c>
      <c r="M354" s="73">
        <v>91.3</v>
      </c>
      <c r="N354" s="24">
        <v>67.2</v>
      </c>
      <c r="O354" s="69">
        <v>82.610277777777881</v>
      </c>
      <c r="P354" s="102">
        <v>1042.02423944521</v>
      </c>
      <c r="Q354" s="21">
        <v>1028.3761435362901</v>
      </c>
      <c r="R354" s="56">
        <v>1036.5694310500282</v>
      </c>
      <c r="S354" s="61">
        <v>5.8000000046400002</v>
      </c>
      <c r="T354" s="51">
        <v>3.3900000027119992</v>
      </c>
      <c r="U354" s="25">
        <v>1.3169696980232743</v>
      </c>
      <c r="V354" s="192" t="s">
        <v>215</v>
      </c>
      <c r="W354" s="195"/>
      <c r="X354" s="26">
        <v>0</v>
      </c>
      <c r="Y354" s="27">
        <v>0</v>
      </c>
      <c r="Z354" s="28">
        <v>0</v>
      </c>
      <c r="AA354" s="29">
        <v>9</v>
      </c>
      <c r="AB354" s="285" t="s">
        <v>465</v>
      </c>
    </row>
    <row r="355" spans="1:28" x14ac:dyDescent="0.3">
      <c r="A355" s="38">
        <v>44914</v>
      </c>
      <c r="B355" s="39">
        <v>-13</v>
      </c>
      <c r="C355" s="14">
        <v>-3.1</v>
      </c>
      <c r="D355" s="14">
        <v>-2.1</v>
      </c>
      <c r="E355" s="14">
        <v>-1.6</v>
      </c>
      <c r="F355" s="14">
        <v>-14.7</v>
      </c>
      <c r="G355" s="65">
        <f t="shared" si="25"/>
        <v>13.1</v>
      </c>
      <c r="H355" s="65">
        <f t="shared" si="27"/>
        <v>-5.0750000000000002</v>
      </c>
      <c r="I355" s="67">
        <v>-7.3022222222222117</v>
      </c>
      <c r="J355" s="14">
        <v>-3.9</v>
      </c>
      <c r="K355" s="14">
        <v>-16.100000000000001</v>
      </c>
      <c r="L355" s="67">
        <v>-9.160138888888925</v>
      </c>
      <c r="M355" s="73">
        <v>91</v>
      </c>
      <c r="N355" s="24">
        <v>76.900000000000006</v>
      </c>
      <c r="O355" s="69">
        <v>86.667291666666713</v>
      </c>
      <c r="P355" s="102">
        <v>1042.2593862276599</v>
      </c>
      <c r="Q355" s="21">
        <v>1034.3474000277199</v>
      </c>
      <c r="R355" s="56">
        <v>1039.1562467158653</v>
      </c>
      <c r="S355" s="61">
        <v>11.900000009519999</v>
      </c>
      <c r="T355" s="51">
        <v>7.6033333394159994</v>
      </c>
      <c r="U355" s="25">
        <v>2.0548153528386379</v>
      </c>
      <c r="V355" s="192" t="s">
        <v>211</v>
      </c>
      <c r="W355" s="195"/>
      <c r="X355" s="26">
        <v>0</v>
      </c>
      <c r="Y355" s="27">
        <v>0</v>
      </c>
      <c r="Z355" s="28">
        <v>0</v>
      </c>
      <c r="AA355" s="29">
        <v>8</v>
      </c>
      <c r="AB355" s="285" t="s">
        <v>233</v>
      </c>
    </row>
    <row r="356" spans="1:28" x14ac:dyDescent="0.3">
      <c r="A356" s="38">
        <v>44915</v>
      </c>
      <c r="B356" s="39">
        <v>-1.2</v>
      </c>
      <c r="C356" s="14">
        <v>1</v>
      </c>
      <c r="D356" s="14">
        <v>1</v>
      </c>
      <c r="E356" s="14">
        <v>1.7</v>
      </c>
      <c r="F356" s="14">
        <v>-2</v>
      </c>
      <c r="G356" s="65">
        <f t="shared" si="25"/>
        <v>3.7</v>
      </c>
      <c r="H356" s="65">
        <f t="shared" si="27"/>
        <v>0.45</v>
      </c>
      <c r="I356" s="67">
        <v>9.3749999999996354E-3</v>
      </c>
      <c r="J356" s="14">
        <v>-1.8</v>
      </c>
      <c r="K356" s="14">
        <v>-4.4000000000000004</v>
      </c>
      <c r="L356" s="67">
        <v>-3.1143055555555708</v>
      </c>
      <c r="M356" s="73">
        <v>85.4</v>
      </c>
      <c r="N356" s="24">
        <v>67.8</v>
      </c>
      <c r="O356" s="69">
        <v>79.600208333333228</v>
      </c>
      <c r="P356" s="102">
        <v>1034.4590526500201</v>
      </c>
      <c r="Q356" s="21">
        <v>1024.3132973489001</v>
      </c>
      <c r="R356" s="56">
        <v>1029.3723113394894</v>
      </c>
      <c r="S356" s="61">
        <v>9.5000000076000006</v>
      </c>
      <c r="T356" s="51">
        <v>7.5116666726760002</v>
      </c>
      <c r="U356" s="25">
        <v>3.6052075775382133</v>
      </c>
      <c r="V356" s="192" t="s">
        <v>251</v>
      </c>
      <c r="W356" s="195" t="s">
        <v>261</v>
      </c>
      <c r="X356" s="26">
        <v>0</v>
      </c>
      <c r="Y356" s="27">
        <v>0</v>
      </c>
      <c r="Z356" s="28">
        <v>0</v>
      </c>
      <c r="AA356" s="29">
        <v>8</v>
      </c>
      <c r="AB356" s="285" t="s">
        <v>466</v>
      </c>
    </row>
    <row r="357" spans="1:28" x14ac:dyDescent="0.3">
      <c r="A357" s="38">
        <v>44916</v>
      </c>
      <c r="B357" s="39">
        <v>1.4</v>
      </c>
      <c r="C357" s="14">
        <v>3.5</v>
      </c>
      <c r="D357" s="14">
        <v>-0.4</v>
      </c>
      <c r="E357" s="14">
        <v>4.0999999999999996</v>
      </c>
      <c r="F357" s="14">
        <v>-0.6</v>
      </c>
      <c r="G357" s="65">
        <f t="shared" si="25"/>
        <v>4.6999999999999993</v>
      </c>
      <c r="H357" s="65">
        <f t="shared" si="27"/>
        <v>1.0250000000000001</v>
      </c>
      <c r="I357" s="67">
        <v>1.0302777777777783</v>
      </c>
      <c r="J357" s="14">
        <v>-1.7</v>
      </c>
      <c r="K357" s="14">
        <v>-4.5</v>
      </c>
      <c r="L357" s="67">
        <v>-3.0806944444444406</v>
      </c>
      <c r="M357" s="73">
        <v>86.6</v>
      </c>
      <c r="N357" s="24">
        <v>58.3</v>
      </c>
      <c r="O357" s="69">
        <v>74.405833333333234</v>
      </c>
      <c r="P357" s="102">
        <v>1024.6295598163399</v>
      </c>
      <c r="Q357" s="21">
        <v>1017.36578313881</v>
      </c>
      <c r="R357" s="56">
        <v>1020.1112417892521</v>
      </c>
      <c r="S357" s="61">
        <v>7.1000000056800001</v>
      </c>
      <c r="T357" s="51">
        <v>4.8833333372400007</v>
      </c>
      <c r="U357" s="25">
        <v>1.4756244007962578</v>
      </c>
      <c r="V357" s="192" t="s">
        <v>211</v>
      </c>
      <c r="W357" s="195"/>
      <c r="X357" s="26">
        <v>0</v>
      </c>
      <c r="Y357" s="27">
        <v>0</v>
      </c>
      <c r="Z357" s="28">
        <v>0</v>
      </c>
      <c r="AA357" s="29">
        <v>7.5</v>
      </c>
      <c r="AB357" s="285" t="s">
        <v>242</v>
      </c>
    </row>
    <row r="358" spans="1:28" x14ac:dyDescent="0.3">
      <c r="A358" s="38">
        <v>44917</v>
      </c>
      <c r="B358" s="39">
        <v>0</v>
      </c>
      <c r="C358" s="14">
        <v>2.9</v>
      </c>
      <c r="D358" s="14">
        <v>1.7</v>
      </c>
      <c r="E358" s="14">
        <v>4.4000000000000004</v>
      </c>
      <c r="F358" s="14">
        <v>-0.1</v>
      </c>
      <c r="G358" s="65">
        <f t="shared" si="25"/>
        <v>4.5</v>
      </c>
      <c r="H358" s="65">
        <f t="shared" si="27"/>
        <v>1.575</v>
      </c>
      <c r="I358" s="67">
        <v>1.2664583333333339</v>
      </c>
      <c r="J358" s="14">
        <v>1.8</v>
      </c>
      <c r="K358" s="14">
        <v>-1.8</v>
      </c>
      <c r="L358" s="67">
        <v>-0.27625000000000127</v>
      </c>
      <c r="M358" s="73">
        <v>96.1</v>
      </c>
      <c r="N358" s="24">
        <v>81.8</v>
      </c>
      <c r="O358" s="69">
        <v>89.512847222222149</v>
      </c>
      <c r="P358" s="102">
        <v>1017.57064938592</v>
      </c>
      <c r="Q358" s="21">
        <v>1012.07095138622</v>
      </c>
      <c r="R358" s="56">
        <v>1014.8821131706877</v>
      </c>
      <c r="S358" s="61">
        <v>6.8000000054400003</v>
      </c>
      <c r="T358" s="51">
        <v>4.4166666701999997</v>
      </c>
      <c r="U358" s="25">
        <v>0.8364766088563178</v>
      </c>
      <c r="V358" s="192" t="s">
        <v>330</v>
      </c>
      <c r="W358" s="195" t="s">
        <v>210</v>
      </c>
      <c r="X358" s="26">
        <v>6</v>
      </c>
      <c r="Y358" s="27">
        <v>0.1</v>
      </c>
      <c r="Z358" s="28">
        <v>0</v>
      </c>
      <c r="AA358" s="29">
        <v>6</v>
      </c>
      <c r="AB358" s="285" t="s">
        <v>467</v>
      </c>
    </row>
    <row r="359" spans="1:28" x14ac:dyDescent="0.3">
      <c r="A359" s="38">
        <v>44918</v>
      </c>
      <c r="B359" s="39">
        <v>1.4</v>
      </c>
      <c r="C359" s="14">
        <v>1.8</v>
      </c>
      <c r="D359" s="14">
        <v>1.5</v>
      </c>
      <c r="E359" s="14">
        <v>4.0999999999999996</v>
      </c>
      <c r="F359" s="14">
        <v>0.9</v>
      </c>
      <c r="G359" s="65">
        <f t="shared" si="25"/>
        <v>3.1999999999999997</v>
      </c>
      <c r="H359" s="65">
        <f t="shared" si="27"/>
        <v>1.55</v>
      </c>
      <c r="I359" s="67">
        <v>1.607926397735302</v>
      </c>
      <c r="J359" s="14">
        <v>2.9</v>
      </c>
      <c r="K359" s="14">
        <v>0.4</v>
      </c>
      <c r="L359" s="67">
        <v>1.1698513800424646</v>
      </c>
      <c r="M359" s="73">
        <v>97.8</v>
      </c>
      <c r="N359" s="24">
        <v>91.9</v>
      </c>
      <c r="O359" s="69">
        <v>96.897027600849668</v>
      </c>
      <c r="P359" s="102">
        <v>1012.22300838616</v>
      </c>
      <c r="Q359" s="21">
        <v>1009.61272824754</v>
      </c>
      <c r="R359" s="56">
        <v>1011.0303041689029</v>
      </c>
      <c r="S359" s="61">
        <v>6.10000000488</v>
      </c>
      <c r="T359" s="51">
        <v>3.7166666696399999</v>
      </c>
      <c r="U359" s="25">
        <v>1.0497352595642186</v>
      </c>
      <c r="V359" s="192" t="s">
        <v>252</v>
      </c>
      <c r="W359" s="195" t="s">
        <v>210</v>
      </c>
      <c r="X359" s="26">
        <v>6</v>
      </c>
      <c r="Y359" s="27">
        <v>5.6</v>
      </c>
      <c r="Z359" s="28">
        <v>0</v>
      </c>
      <c r="AA359" s="29">
        <v>5</v>
      </c>
      <c r="AB359" s="285" t="s">
        <v>468</v>
      </c>
    </row>
    <row r="360" spans="1:28" x14ac:dyDescent="0.3">
      <c r="A360" s="38">
        <v>44919</v>
      </c>
      <c r="B360" s="39">
        <v>1.3</v>
      </c>
      <c r="C360" s="14">
        <v>3.9</v>
      </c>
      <c r="D360" s="14">
        <v>2.1</v>
      </c>
      <c r="E360" s="14">
        <v>5.0999999999999996</v>
      </c>
      <c r="F360" s="14">
        <v>0.6</v>
      </c>
      <c r="G360" s="65">
        <f t="shared" si="25"/>
        <v>4.5</v>
      </c>
      <c r="H360" s="65">
        <f t="shared" si="27"/>
        <v>2.35</v>
      </c>
      <c r="I360" s="67">
        <v>2.2315972222222196</v>
      </c>
      <c r="J360" s="14">
        <v>4.5</v>
      </c>
      <c r="K360" s="14">
        <v>0.3</v>
      </c>
      <c r="L360" s="67">
        <v>1.9300000000000046</v>
      </c>
      <c r="M360" s="73">
        <v>100</v>
      </c>
      <c r="N360" s="24">
        <v>95.2</v>
      </c>
      <c r="O360" s="69">
        <v>97.877847222222059</v>
      </c>
      <c r="P360" s="102">
        <v>1018.05608170485</v>
      </c>
      <c r="Q360" s="21">
        <v>1007.05207914475</v>
      </c>
      <c r="R360" s="56">
        <v>1011.2280063525415</v>
      </c>
      <c r="S360" s="61">
        <v>4.1000000032799999</v>
      </c>
      <c r="T360" s="51">
        <v>2.380000001904</v>
      </c>
      <c r="U360" s="25">
        <v>0.66788587283194034</v>
      </c>
      <c r="V360" s="192" t="s">
        <v>213</v>
      </c>
      <c r="W360" s="195" t="s">
        <v>261</v>
      </c>
      <c r="X360" s="26">
        <v>0</v>
      </c>
      <c r="Y360" s="27">
        <v>0</v>
      </c>
      <c r="Z360" s="28">
        <v>0</v>
      </c>
      <c r="AA360" s="29">
        <v>3</v>
      </c>
      <c r="AB360" s="285" t="s">
        <v>262</v>
      </c>
    </row>
    <row r="361" spans="1:28" x14ac:dyDescent="0.3">
      <c r="A361" s="38">
        <v>44920</v>
      </c>
      <c r="B361" s="39">
        <v>0</v>
      </c>
      <c r="C361" s="14">
        <v>5.6</v>
      </c>
      <c r="D361" s="14">
        <v>0.9</v>
      </c>
      <c r="E361" s="14">
        <v>6.9</v>
      </c>
      <c r="F361" s="14">
        <v>-0.2</v>
      </c>
      <c r="G361" s="65">
        <f t="shared" si="25"/>
        <v>7.1000000000000005</v>
      </c>
      <c r="H361" s="65">
        <f t="shared" si="27"/>
        <v>1.8499999999999999</v>
      </c>
      <c r="I361" s="67">
        <v>1.6519444444444464</v>
      </c>
      <c r="J361" s="14">
        <v>5.8</v>
      </c>
      <c r="K361" s="14">
        <v>-0.4</v>
      </c>
      <c r="L361" s="67">
        <v>1.235277777777779</v>
      </c>
      <c r="M361" s="73">
        <v>100</v>
      </c>
      <c r="N361" s="24">
        <v>89.8</v>
      </c>
      <c r="O361" s="69">
        <v>97.087916666666516</v>
      </c>
      <c r="P361" s="102">
        <v>1024.9010114616001</v>
      </c>
      <c r="Q361" s="21">
        <v>1017.85122083721</v>
      </c>
      <c r="R361" s="56">
        <v>1022.3611950879557</v>
      </c>
      <c r="S361" s="61">
        <v>6.8000000054400003</v>
      </c>
      <c r="T361" s="51">
        <v>3.6700000029360007</v>
      </c>
      <c r="U361" s="25">
        <v>0.62134634684342227</v>
      </c>
      <c r="V361" s="192" t="s">
        <v>211</v>
      </c>
      <c r="W361" s="195"/>
      <c r="X361" s="26">
        <v>0</v>
      </c>
      <c r="Y361" s="27">
        <v>0</v>
      </c>
      <c r="Z361" s="28">
        <v>0</v>
      </c>
      <c r="AA361" s="29">
        <v>0</v>
      </c>
      <c r="AB361" s="285" t="s">
        <v>469</v>
      </c>
    </row>
    <row r="362" spans="1:28" x14ac:dyDescent="0.3">
      <c r="A362" s="38">
        <v>44921</v>
      </c>
      <c r="B362" s="39">
        <v>4.8</v>
      </c>
      <c r="C362" s="14">
        <v>5.3</v>
      </c>
      <c r="D362" s="14">
        <v>5.5</v>
      </c>
      <c r="E362" s="14">
        <v>5.7</v>
      </c>
      <c r="F362" s="14">
        <v>2.9</v>
      </c>
      <c r="G362" s="65">
        <f t="shared" si="25"/>
        <v>2.8000000000000003</v>
      </c>
      <c r="H362" s="65">
        <f t="shared" si="27"/>
        <v>5.2750000000000004</v>
      </c>
      <c r="I362" s="67">
        <v>4.8490972222222259</v>
      </c>
      <c r="J362" s="14">
        <v>5.2</v>
      </c>
      <c r="K362" s="14">
        <v>2.7</v>
      </c>
      <c r="L362" s="67">
        <v>4.3279861111111</v>
      </c>
      <c r="M362" s="73">
        <v>98.4</v>
      </c>
      <c r="N362" s="24">
        <v>94</v>
      </c>
      <c r="O362" s="69">
        <v>96.437847222222359</v>
      </c>
      <c r="P362" s="102">
        <v>1023.1608105970701</v>
      </c>
      <c r="Q362" s="21">
        <v>1017.35488650606</v>
      </c>
      <c r="R362" s="56">
        <v>1019.6782682870579</v>
      </c>
      <c r="S362" s="61">
        <v>10.20000000816</v>
      </c>
      <c r="T362" s="51">
        <v>6.1866666716160008</v>
      </c>
      <c r="U362" s="25">
        <v>2.6662402555442846</v>
      </c>
      <c r="V362" s="192" t="s">
        <v>211</v>
      </c>
      <c r="W362" s="195"/>
      <c r="X362" s="26">
        <v>0</v>
      </c>
      <c r="Y362" s="27">
        <v>0</v>
      </c>
      <c r="Z362" s="28">
        <v>0</v>
      </c>
      <c r="AA362" s="29">
        <v>0</v>
      </c>
      <c r="AB362" s="285" t="s">
        <v>470</v>
      </c>
    </row>
    <row r="363" spans="1:28" x14ac:dyDescent="0.3">
      <c r="A363" s="38">
        <v>44922</v>
      </c>
      <c r="B363" s="39">
        <v>4.9000000000000004</v>
      </c>
      <c r="C363" s="14">
        <v>7.4</v>
      </c>
      <c r="D363" s="14">
        <v>-0.8</v>
      </c>
      <c r="E363" s="14">
        <v>8.5</v>
      </c>
      <c r="F363" s="14">
        <v>-1.8</v>
      </c>
      <c r="G363" s="65">
        <f t="shared" si="25"/>
        <v>10.3</v>
      </c>
      <c r="H363" s="65">
        <f t="shared" si="27"/>
        <v>2.6750000000000003</v>
      </c>
      <c r="I363" s="67">
        <v>3.5545833333333388</v>
      </c>
      <c r="J363" s="14">
        <v>6.3</v>
      </c>
      <c r="K363" s="14">
        <v>-3.8</v>
      </c>
      <c r="L363" s="67">
        <v>1.4777777777777827</v>
      </c>
      <c r="M363" s="73">
        <v>98.7</v>
      </c>
      <c r="N363" s="24">
        <v>59.4</v>
      </c>
      <c r="O363" s="69">
        <v>87.093263888888814</v>
      </c>
      <c r="P363" s="102">
        <v>1027.7747291399401</v>
      </c>
      <c r="Q363" s="21">
        <v>1015.75107091527</v>
      </c>
      <c r="R363" s="56">
        <v>1021.8428028878611</v>
      </c>
      <c r="S363" s="61">
        <v>10.500000008400001</v>
      </c>
      <c r="T363" s="51">
        <v>7.276666672488</v>
      </c>
      <c r="U363" s="25">
        <v>1.3722747104001487</v>
      </c>
      <c r="V363" s="101" t="s">
        <v>213</v>
      </c>
      <c r="W363" s="195"/>
      <c r="X363" s="26">
        <v>0</v>
      </c>
      <c r="Y363" s="27">
        <v>0</v>
      </c>
      <c r="Z363" s="28">
        <v>0</v>
      </c>
      <c r="AA363" s="29">
        <v>0</v>
      </c>
      <c r="AB363" s="285" t="s">
        <v>271</v>
      </c>
    </row>
    <row r="364" spans="1:28" x14ac:dyDescent="0.3">
      <c r="A364" s="38">
        <v>44923</v>
      </c>
      <c r="B364" s="39">
        <v>-4.0999999999999996</v>
      </c>
      <c r="C364" s="14">
        <v>2.8</v>
      </c>
      <c r="D364" s="14">
        <v>1.7</v>
      </c>
      <c r="E364" s="14">
        <v>3</v>
      </c>
      <c r="F364" s="14">
        <v>-4.3</v>
      </c>
      <c r="G364" s="65">
        <f t="shared" si="25"/>
        <v>7.3</v>
      </c>
      <c r="H364" s="65">
        <f t="shared" si="27"/>
        <v>0.52500000000000002</v>
      </c>
      <c r="I364" s="67">
        <v>-0.10805555555555627</v>
      </c>
      <c r="J364" s="14">
        <v>0.3</v>
      </c>
      <c r="K364" s="14">
        <v>-5</v>
      </c>
      <c r="L364" s="67">
        <v>-1.6972916666666646</v>
      </c>
      <c r="M364" s="73">
        <v>97</v>
      </c>
      <c r="N364" s="24">
        <v>78.400000000000006</v>
      </c>
      <c r="O364" s="69">
        <v>89.244097222222209</v>
      </c>
      <c r="P364" s="102">
        <v>1028.06786291601</v>
      </c>
      <c r="Q364" s="21">
        <v>1022.09090049342</v>
      </c>
      <c r="R364" s="56">
        <v>1025.5204561281835</v>
      </c>
      <c r="S364" s="61">
        <v>7.5000000059999996</v>
      </c>
      <c r="T364" s="51">
        <v>5.0100000040079991</v>
      </c>
      <c r="U364" s="25">
        <v>1.7529899149470647</v>
      </c>
      <c r="V364" s="192" t="s">
        <v>213</v>
      </c>
      <c r="W364" s="195"/>
      <c r="X364" s="26">
        <v>0</v>
      </c>
      <c r="Y364" s="27">
        <v>0</v>
      </c>
      <c r="Z364" s="28">
        <v>0</v>
      </c>
      <c r="AA364" s="29">
        <v>0</v>
      </c>
      <c r="AB364" s="285" t="s">
        <v>266</v>
      </c>
    </row>
    <row r="365" spans="1:28" x14ac:dyDescent="0.3">
      <c r="A365" s="38">
        <v>44924</v>
      </c>
      <c r="B365" s="39">
        <v>1.5</v>
      </c>
      <c r="C365" s="14">
        <v>1.8</v>
      </c>
      <c r="D365" s="14">
        <v>3.4</v>
      </c>
      <c r="E365" s="263">
        <v>3.6</v>
      </c>
      <c r="F365" s="14">
        <v>-0.3</v>
      </c>
      <c r="G365" s="65">
        <f t="shared" si="25"/>
        <v>3.9</v>
      </c>
      <c r="H365" s="65">
        <f t="shared" si="27"/>
        <v>2.5249999999999999</v>
      </c>
      <c r="I365" s="67">
        <v>1.7934027777777877</v>
      </c>
      <c r="J365" s="14">
        <v>0.4</v>
      </c>
      <c r="K365" s="14">
        <v>-1.9</v>
      </c>
      <c r="L365" s="67">
        <v>-0.7295833333333317</v>
      </c>
      <c r="M365" s="73">
        <v>90</v>
      </c>
      <c r="N365" s="24">
        <v>77.8</v>
      </c>
      <c r="O365" s="69">
        <v>83.36687500000005</v>
      </c>
      <c r="P365" s="102">
        <v>1022.32245709164</v>
      </c>
      <c r="Q365" s="21">
        <v>1019.00045925438</v>
      </c>
      <c r="R365" s="56">
        <v>1020.7915057276513</v>
      </c>
      <c r="S365" s="61">
        <v>9.9000000079199992</v>
      </c>
      <c r="T365" s="51">
        <v>6.2933333383680008</v>
      </c>
      <c r="U365" s="25">
        <v>3.4033791965436184</v>
      </c>
      <c r="V365" s="192" t="s">
        <v>211</v>
      </c>
      <c r="W365" s="195"/>
      <c r="X365" s="26">
        <v>0</v>
      </c>
      <c r="Y365" s="27">
        <v>0</v>
      </c>
      <c r="Z365" s="28">
        <v>0</v>
      </c>
      <c r="AA365" s="29">
        <v>0</v>
      </c>
      <c r="AB365" s="285" t="s">
        <v>231</v>
      </c>
    </row>
    <row r="366" spans="1:28" x14ac:dyDescent="0.3">
      <c r="A366" s="38">
        <v>44925</v>
      </c>
      <c r="B366" s="39">
        <v>1.9</v>
      </c>
      <c r="C366" s="14">
        <v>3.5</v>
      </c>
      <c r="D366" s="14">
        <v>3.3</v>
      </c>
      <c r="E366" s="14">
        <v>3.9</v>
      </c>
      <c r="F366" s="14">
        <v>-0.2</v>
      </c>
      <c r="G366" s="65">
        <f t="shared" si="25"/>
        <v>4.0999999999999996</v>
      </c>
      <c r="H366" s="65">
        <f>(B366+C366+2*D366)/4</f>
        <v>3</v>
      </c>
      <c r="I366" s="67">
        <v>2.6068750000000094</v>
      </c>
      <c r="J366" s="14">
        <v>3.6</v>
      </c>
      <c r="K366" s="14">
        <v>-1.7</v>
      </c>
      <c r="L366" s="67">
        <v>1.982638888888886</v>
      </c>
      <c r="M366" s="73">
        <v>98</v>
      </c>
      <c r="N366" s="24">
        <v>89.9</v>
      </c>
      <c r="O366" s="69">
        <v>95.607430555555439</v>
      </c>
      <c r="P366" s="102">
        <v>1022.91215682498</v>
      </c>
      <c r="Q366" s="21">
        <v>1018.35941587149</v>
      </c>
      <c r="R366" s="56">
        <v>1020.4663499570739</v>
      </c>
      <c r="S366" s="61">
        <v>2.7000000021599999</v>
      </c>
      <c r="T366" s="51">
        <v>1.6700000013360001</v>
      </c>
      <c r="U366" s="25">
        <v>0.38392684139241601</v>
      </c>
      <c r="V366" s="192" t="s">
        <v>213</v>
      </c>
      <c r="W366" s="195" t="s">
        <v>210</v>
      </c>
      <c r="X366" s="26">
        <v>6</v>
      </c>
      <c r="Y366" s="27">
        <v>0.4</v>
      </c>
      <c r="Z366" s="28">
        <v>0</v>
      </c>
      <c r="AA366" s="29">
        <v>0</v>
      </c>
      <c r="AB366" s="285" t="s">
        <v>471</v>
      </c>
    </row>
    <row r="367" spans="1:28" s="376" customFormat="1" ht="15" thickBot="1" x14ac:dyDescent="0.35">
      <c r="A367" s="38">
        <v>44926</v>
      </c>
      <c r="B367" s="40">
        <v>5.2</v>
      </c>
      <c r="C367" s="22">
        <v>6.8</v>
      </c>
      <c r="D367" s="22">
        <v>5.4</v>
      </c>
      <c r="E367" s="22">
        <v>6.9</v>
      </c>
      <c r="F367" s="22">
        <v>3.6</v>
      </c>
      <c r="G367" s="22">
        <f t="shared" si="25"/>
        <v>3.3000000000000003</v>
      </c>
      <c r="H367" s="22">
        <f>(B367+C367+2*D367)/4</f>
        <v>5.7</v>
      </c>
      <c r="I367" s="68">
        <v>5.5029861111110963</v>
      </c>
      <c r="J367" s="22">
        <v>5.8</v>
      </c>
      <c r="K367" s="22">
        <v>3.3</v>
      </c>
      <c r="L367" s="68">
        <v>4.8533333333333211</v>
      </c>
      <c r="M367" s="74">
        <v>98.5</v>
      </c>
      <c r="N367" s="57">
        <v>92.4</v>
      </c>
      <c r="O367" s="70">
        <v>95.573402777777744</v>
      </c>
      <c r="P367" s="103">
        <v>1026.1604944206699</v>
      </c>
      <c r="Q367" s="58">
        <v>1021.50250300483</v>
      </c>
      <c r="R367" s="59">
        <v>1023.3610697056075</v>
      </c>
      <c r="S367" s="63">
        <v>9.5000000076000006</v>
      </c>
      <c r="T367" s="53">
        <v>5.5866666711359994</v>
      </c>
      <c r="U367" s="41">
        <v>2.3524446068915794</v>
      </c>
      <c r="V367" s="196" t="s">
        <v>211</v>
      </c>
      <c r="W367" s="197"/>
      <c r="X367" s="43">
        <v>0</v>
      </c>
      <c r="Y367" s="44">
        <v>0</v>
      </c>
      <c r="Z367" s="45">
        <v>0</v>
      </c>
      <c r="AA367" s="46">
        <v>0</v>
      </c>
      <c r="AB367" s="286" t="s">
        <v>472</v>
      </c>
    </row>
  </sheetData>
  <mergeCells count="6">
    <mergeCell ref="B1:I1"/>
    <mergeCell ref="W1:AA1"/>
    <mergeCell ref="S1:V1"/>
    <mergeCell ref="M1:O1"/>
    <mergeCell ref="P1:R1"/>
    <mergeCell ref="J1:L1"/>
  </mergeCells>
  <conditionalFormatting sqref="X3:X33 X61:X367">
    <cfRule type="cellIs" dxfId="203" priority="1358" operator="greaterThan">
      <formula>150</formula>
    </cfRule>
    <cfRule type="cellIs" dxfId="202" priority="1359" operator="between">
      <formula>90</formula>
      <formula>150</formula>
    </cfRule>
    <cfRule type="cellIs" dxfId="201" priority="1360" operator="between">
      <formula>50</formula>
      <formula>90</formula>
    </cfRule>
    <cfRule type="cellIs" dxfId="200" priority="1361" operator="between">
      <formula>30</formula>
      <formula>50</formula>
    </cfRule>
    <cfRule type="cellIs" dxfId="199" priority="1362" operator="between">
      <formula>15</formula>
      <formula>30</formula>
    </cfRule>
    <cfRule type="cellIs" dxfId="198" priority="1363" operator="between">
      <formula>5</formula>
      <formula>15</formula>
    </cfRule>
    <cfRule type="cellIs" dxfId="197" priority="1364" operator="between">
      <formula>0</formula>
      <formula>5</formula>
    </cfRule>
  </conditionalFormatting>
  <conditionalFormatting sqref="Y3:Y33 Y61:Y367">
    <cfRule type="cellIs" dxfId="196" priority="1350" operator="greaterThan">
      <formula>80</formula>
    </cfRule>
    <cfRule type="cellIs" dxfId="195" priority="1351" operator="between">
      <formula>60</formula>
      <formula>80</formula>
    </cfRule>
    <cfRule type="cellIs" dxfId="194" priority="1352" operator="between">
      <formula>45</formula>
      <formula>60</formula>
    </cfRule>
    <cfRule type="cellIs" dxfId="193" priority="1353" operator="between">
      <formula>30</formula>
      <formula>45</formula>
    </cfRule>
    <cfRule type="cellIs" dxfId="192" priority="1354" operator="between">
      <formula>15</formula>
      <formula>30</formula>
    </cfRule>
    <cfRule type="cellIs" dxfId="191" priority="1355" operator="between">
      <formula>10</formula>
      <formula>15</formula>
    </cfRule>
    <cfRule type="cellIs" dxfId="190" priority="1356" operator="between">
      <formula>5</formula>
      <formula>10</formula>
    </cfRule>
    <cfRule type="cellIs" dxfId="189" priority="1357" operator="between">
      <formula>0</formula>
      <formula>5</formula>
    </cfRule>
  </conditionalFormatting>
  <conditionalFormatting sqref="Z3:AA33 Z61:AA367">
    <cfRule type="cellIs" dxfId="188" priority="1334" operator="greaterThan">
      <formula>30</formula>
    </cfRule>
    <cfRule type="cellIs" dxfId="187" priority="1335" operator="between">
      <formula>20</formula>
      <formula>30</formula>
    </cfRule>
    <cfRule type="cellIs" dxfId="186" priority="1336" operator="between">
      <formula>15</formula>
      <formula>20</formula>
    </cfRule>
    <cfRule type="cellIs" dxfId="185" priority="1337" operator="between">
      <formula>10</formula>
      <formula>15</formula>
    </cfRule>
    <cfRule type="cellIs" dxfId="184" priority="1338" operator="between">
      <formula>7.5</formula>
      <formula>10</formula>
    </cfRule>
    <cfRule type="cellIs" dxfId="183" priority="1339" operator="between">
      <formula>5</formula>
      <formula>7.5</formula>
    </cfRule>
    <cfRule type="cellIs" dxfId="182" priority="1340" operator="between">
      <formula>3</formula>
      <formula>5</formula>
    </cfRule>
    <cfRule type="cellIs" dxfId="181" priority="1341" operator="between">
      <formula>1</formula>
      <formula>3</formula>
    </cfRule>
    <cfRule type="cellIs" dxfId="180" priority="1342" operator="between">
      <formula>0</formula>
      <formula>1</formula>
    </cfRule>
  </conditionalFormatting>
  <conditionalFormatting sqref="X3:AA33 X61:AA367">
    <cfRule type="cellIs" dxfId="179" priority="1333" operator="equal">
      <formula>0</formula>
    </cfRule>
  </conditionalFormatting>
  <conditionalFormatting sqref="V62:V82 V84:V92 W139:AB152 V140:V152 V3:AB33 V61:AB61 V123:AB138 V93:AB94 W95:AB122 V96:V122 AC47 V364:AB367 W343:AB363 V343:V362 W62:AB75 W76:AA76 W77:AB92 V153:AB342">
    <cfRule type="containsBlanks" dxfId="178" priority="1312">
      <formula>LEN(TRIM(V3))=0</formula>
    </cfRule>
  </conditionalFormatting>
  <conditionalFormatting sqref="V62:V82 V84:V92 V153:AB153 V123:AB138 W139:AB152 V140:V152 W62:AB75 W76:AA76 W77:AB92">
    <cfRule type="containsBlanks" priority="85">
      <formula>LEN(TRIM(V62))=0</formula>
    </cfRule>
  </conditionalFormatting>
  <conditionalFormatting sqref="P1:R33 P61:R1048576">
    <cfRule type="colorScale" priority="47">
      <colorScale>
        <cfvo type="num" val="980"/>
        <cfvo type="num" val="1010"/>
        <cfvo type="num" val="1040"/>
        <color rgb="FF00B0F0"/>
        <color rgb="FFFFEB84"/>
        <color rgb="FFFF0000"/>
      </colorScale>
    </cfRule>
  </conditionalFormatting>
  <conditionalFormatting sqref="M1:O33 M61:O1048576">
    <cfRule type="cellIs" dxfId="177" priority="44" operator="equal">
      <formula>100</formula>
    </cfRule>
    <cfRule type="colorScale" priority="4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J1:L33 J61:L1048576">
    <cfRule type="colorScale" priority="45">
      <colorScale>
        <cfvo type="num" val="-30"/>
        <cfvo type="num" val="5"/>
        <cfvo type="num" val="20"/>
        <color theme="4"/>
        <color theme="0"/>
        <color rgb="FFC00000"/>
      </colorScale>
    </cfRule>
  </conditionalFormatting>
  <conditionalFormatting sqref="S1:S33 S61:S1048576">
    <cfRule type="colorScale" priority="41">
      <colorScale>
        <cfvo type="num" val="0"/>
        <cfvo type="num" val="12.5"/>
        <cfvo type="num" val="25"/>
        <color rgb="FF92D050"/>
        <color rgb="FFFFEB84"/>
        <color rgb="FFFF0000"/>
      </colorScale>
    </cfRule>
  </conditionalFormatting>
  <conditionalFormatting sqref="T1:T33 T61:T1048576">
    <cfRule type="colorScale" priority="40">
      <colorScale>
        <cfvo type="num" val="0"/>
        <cfvo type="num" val="10"/>
        <cfvo type="num" val="20"/>
        <color rgb="FF92D050"/>
        <color rgb="FFFFEB84"/>
        <color rgb="FFFF0000"/>
      </colorScale>
    </cfRule>
  </conditionalFormatting>
  <conditionalFormatting sqref="U1:U33 U61:U1048576">
    <cfRule type="colorScale" priority="39">
      <colorScale>
        <cfvo type="num" val="0"/>
        <cfvo type="num" val="4"/>
        <cfvo type="num" val="10"/>
        <color rgb="FF92D050"/>
        <color rgb="FFFFEB84"/>
        <color rgb="FFFF0000"/>
      </colorScale>
    </cfRule>
  </conditionalFormatting>
  <conditionalFormatting sqref="B1:I33 B61:I1048576">
    <cfRule type="colorScale" priority="37">
      <colorScale>
        <cfvo type="num" val="-20"/>
        <cfvo type="num" val="10"/>
        <cfvo type="num" val="35"/>
        <color rgb="FF00B0F0"/>
        <color rgb="FFFFEB84"/>
        <color rgb="FFFF0000"/>
      </colorScale>
    </cfRule>
  </conditionalFormatting>
  <conditionalFormatting sqref="B34:I60">
    <cfRule type="colorScale" priority="3">
      <colorScale>
        <cfvo type="num" val="-20"/>
        <cfvo type="num" val="10"/>
        <cfvo type="num" val="35"/>
        <color rgb="FF00B0F0"/>
        <color rgb="FFFFEB84"/>
        <color rgb="FFFF0000"/>
      </colorScale>
    </cfRule>
  </conditionalFormatting>
  <conditionalFormatting sqref="X34:X60">
    <cfRule type="cellIs" dxfId="176" priority="30" operator="greaterThan">
      <formula>150</formula>
    </cfRule>
    <cfRule type="cellIs" dxfId="175" priority="31" operator="between">
      <formula>90</formula>
      <formula>150</formula>
    </cfRule>
    <cfRule type="cellIs" dxfId="174" priority="32" operator="between">
      <formula>50</formula>
      <formula>90</formula>
    </cfRule>
    <cfRule type="cellIs" dxfId="173" priority="33" operator="between">
      <formula>30</formula>
      <formula>50</formula>
    </cfRule>
    <cfRule type="cellIs" dxfId="172" priority="34" operator="between">
      <formula>15</formula>
      <formula>30</formula>
    </cfRule>
    <cfRule type="cellIs" dxfId="171" priority="35" operator="between">
      <formula>5</formula>
      <formula>15</formula>
    </cfRule>
    <cfRule type="cellIs" dxfId="170" priority="36" operator="between">
      <formula>0</formula>
      <formula>5</formula>
    </cfRule>
  </conditionalFormatting>
  <conditionalFormatting sqref="Y34:Y60">
    <cfRule type="cellIs" dxfId="169" priority="22" operator="greaterThan">
      <formula>80</formula>
    </cfRule>
    <cfRule type="cellIs" dxfId="168" priority="23" operator="between">
      <formula>60</formula>
      <formula>80</formula>
    </cfRule>
    <cfRule type="cellIs" dxfId="167" priority="24" operator="between">
      <formula>45</formula>
      <formula>60</formula>
    </cfRule>
    <cfRule type="cellIs" dxfId="166" priority="25" operator="between">
      <formula>30</formula>
      <formula>45</formula>
    </cfRule>
    <cfRule type="cellIs" dxfId="165" priority="26" operator="between">
      <formula>15</formula>
      <formula>30</formula>
    </cfRule>
    <cfRule type="cellIs" dxfId="164" priority="27" operator="between">
      <formula>10</formula>
      <formula>15</formula>
    </cfRule>
    <cfRule type="cellIs" dxfId="163" priority="28" operator="between">
      <formula>5</formula>
      <formula>10</formula>
    </cfRule>
    <cfRule type="cellIs" dxfId="162" priority="29" operator="between">
      <formula>0</formula>
      <formula>5</formula>
    </cfRule>
  </conditionalFormatting>
  <conditionalFormatting sqref="Z34:AA60">
    <cfRule type="cellIs" dxfId="161" priority="13" operator="greaterThan">
      <formula>30</formula>
    </cfRule>
    <cfRule type="cellIs" dxfId="160" priority="14" operator="between">
      <formula>20</formula>
      <formula>30</formula>
    </cfRule>
    <cfRule type="cellIs" dxfId="159" priority="15" operator="between">
      <formula>15</formula>
      <formula>20</formula>
    </cfRule>
    <cfRule type="cellIs" dxfId="158" priority="16" operator="between">
      <formula>10</formula>
      <formula>15</formula>
    </cfRule>
    <cfRule type="cellIs" dxfId="157" priority="17" operator="between">
      <formula>7.5</formula>
      <formula>10</formula>
    </cfRule>
    <cfRule type="cellIs" dxfId="156" priority="18" operator="between">
      <formula>5</formula>
      <formula>7.5</formula>
    </cfRule>
    <cfRule type="cellIs" dxfId="155" priority="19" operator="between">
      <formula>3</formula>
      <formula>5</formula>
    </cfRule>
    <cfRule type="cellIs" dxfId="154" priority="20" operator="between">
      <formula>1</formula>
      <formula>3</formula>
    </cfRule>
    <cfRule type="cellIs" dxfId="153" priority="21" operator="between">
      <formula>0</formula>
      <formula>1</formula>
    </cfRule>
  </conditionalFormatting>
  <conditionalFormatting sqref="X34:AA60">
    <cfRule type="cellIs" dxfId="152" priority="12" operator="equal">
      <formula>0</formula>
    </cfRule>
  </conditionalFormatting>
  <conditionalFormatting sqref="V34:AB60">
    <cfRule type="containsBlanks" dxfId="151" priority="11">
      <formula>LEN(TRIM(V34))=0</formula>
    </cfRule>
  </conditionalFormatting>
  <conditionalFormatting sqref="P34:R60">
    <cfRule type="colorScale" priority="10">
      <colorScale>
        <cfvo type="num" val="980"/>
        <cfvo type="num" val="1010"/>
        <cfvo type="num" val="1040"/>
        <color rgb="FF00B0F0"/>
        <color rgb="FFFFEB84"/>
        <color rgb="FFFF0000"/>
      </colorScale>
    </cfRule>
  </conditionalFormatting>
  <conditionalFormatting sqref="M34:O60">
    <cfRule type="cellIs" dxfId="150" priority="7" operator="equal">
      <formula>99</formula>
    </cfRule>
    <cfRule type="colorScale" priority="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J34:L60">
    <cfRule type="colorScale" priority="8">
      <colorScale>
        <cfvo type="num" val="-30"/>
        <cfvo type="num" val="5"/>
        <cfvo type="num" val="20"/>
        <color theme="4"/>
        <color theme="0"/>
        <color rgb="FFC00000"/>
      </colorScale>
    </cfRule>
  </conditionalFormatting>
  <conditionalFormatting sqref="S34:S60">
    <cfRule type="colorScale" priority="6">
      <colorScale>
        <cfvo type="num" val="0"/>
        <cfvo type="num" val="12.5"/>
        <cfvo type="num" val="25"/>
        <color rgb="FF92D050"/>
        <color rgb="FFFFEB84"/>
        <color rgb="FFFF0000"/>
      </colorScale>
    </cfRule>
  </conditionalFormatting>
  <conditionalFormatting sqref="T34:T60">
    <cfRule type="colorScale" priority="5">
      <colorScale>
        <cfvo type="num" val="0"/>
        <cfvo type="num" val="10"/>
        <cfvo type="num" val="20"/>
        <color rgb="FF92D050"/>
        <color rgb="FFFFEB84"/>
        <color rgb="FFFF0000"/>
      </colorScale>
    </cfRule>
  </conditionalFormatting>
  <conditionalFormatting sqref="U34:U60">
    <cfRule type="colorScale" priority="4">
      <colorScale>
        <cfvo type="num" val="0"/>
        <cfvo type="num" val="4"/>
        <cfvo type="num" val="10"/>
        <color rgb="FF92D050"/>
        <color rgb="FFFFEB84"/>
        <color rgb="FFFF0000"/>
      </colorScale>
    </cfRule>
  </conditionalFormatting>
  <conditionalFormatting sqref="AB76">
    <cfRule type="containsBlanks" dxfId="149" priority="2">
      <formula>LEN(TRIM(AB76))=0</formula>
    </cfRule>
  </conditionalFormatting>
  <conditionalFormatting sqref="AB76">
    <cfRule type="containsBlanks" priority="1">
      <formula>LEN(TRIM(AB76))=0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5"/>
  <dimension ref="A1:Y260"/>
  <sheetViews>
    <sheetView zoomScale="85" zoomScaleNormal="85" workbookViewId="0">
      <pane xSplit="2" ySplit="2" topLeftCell="C177" activePane="bottomRight" state="frozen"/>
      <selection pane="topRight" activeCell="C1" sqref="C1"/>
      <selection pane="bottomLeft" activeCell="A3" sqref="A3"/>
      <selection pane="bottomRight" activeCell="J187" sqref="J187"/>
    </sheetView>
  </sheetViews>
  <sheetFormatPr defaultColWidth="9.109375" defaultRowHeight="14.4" x14ac:dyDescent="0.3"/>
  <cols>
    <col min="1" max="1" width="12.33203125" style="130" customWidth="1"/>
    <col min="2" max="2" width="11.109375" style="130" customWidth="1"/>
    <col min="3" max="4" width="17.109375" style="130" customWidth="1"/>
    <col min="5" max="5" width="9.109375" style="130"/>
    <col min="6" max="6" width="11.109375" style="130" customWidth="1"/>
    <col min="7" max="7" width="11.109375" style="131" customWidth="1"/>
    <col min="8" max="8" width="11.109375" style="130" customWidth="1"/>
    <col min="9" max="9" width="11" style="130" customWidth="1"/>
    <col min="10" max="10" width="12.109375" style="130" customWidth="1"/>
    <col min="11" max="11" width="11.44140625" style="130" bestFit="1" customWidth="1"/>
    <col min="12" max="13" width="9.109375" style="130"/>
    <col min="14" max="14" width="11.44140625" style="130" customWidth="1"/>
    <col min="15" max="15" width="10.44140625" style="130" bestFit="1" customWidth="1"/>
    <col min="16" max="16" width="10" style="130" customWidth="1"/>
    <col min="17" max="17" width="9.109375" style="130"/>
    <col min="18" max="18" width="13.33203125" style="130" customWidth="1"/>
    <col min="19" max="19" width="14.44140625" style="173" customWidth="1"/>
    <col min="20" max="20" width="12.44140625" style="130" customWidth="1"/>
    <col min="21" max="22" width="42.88671875" style="130" customWidth="1"/>
    <col min="23" max="16384" width="9.109375" style="130"/>
  </cols>
  <sheetData>
    <row r="1" spans="1:25" s="111" customFormat="1" ht="16.5" customHeight="1" thickBot="1" x14ac:dyDescent="0.35">
      <c r="A1" s="436" t="s">
        <v>0</v>
      </c>
      <c r="B1" s="436" t="s">
        <v>123</v>
      </c>
      <c r="C1" s="448" t="s">
        <v>205</v>
      </c>
      <c r="D1" s="449"/>
      <c r="E1" s="438" t="s">
        <v>125</v>
      </c>
      <c r="F1" s="439"/>
      <c r="G1" s="439"/>
      <c r="H1" s="440"/>
      <c r="I1" s="444" t="s">
        <v>126</v>
      </c>
      <c r="J1" s="445"/>
      <c r="K1" s="441" t="s">
        <v>10</v>
      </c>
      <c r="L1" s="442"/>
      <c r="M1" s="443"/>
      <c r="N1" s="453" t="s">
        <v>127</v>
      </c>
      <c r="O1" s="454"/>
      <c r="P1" s="454"/>
      <c r="Q1" s="455"/>
      <c r="R1" s="456" t="s">
        <v>128</v>
      </c>
      <c r="S1" s="457"/>
      <c r="T1" s="457"/>
      <c r="U1" s="418" t="s">
        <v>129</v>
      </c>
      <c r="V1" s="395"/>
      <c r="W1" s="343"/>
      <c r="X1" s="343"/>
      <c r="Y1" s="343"/>
    </row>
    <row r="2" spans="1:25" s="123" customFormat="1" ht="63" thickBot="1" x14ac:dyDescent="0.35">
      <c r="A2" s="437"/>
      <c r="B2" s="437"/>
      <c r="C2" s="322" t="s">
        <v>124</v>
      </c>
      <c r="D2" s="322" t="s">
        <v>204</v>
      </c>
      <c r="E2" s="112" t="s">
        <v>130</v>
      </c>
      <c r="F2" s="112" t="s">
        <v>198</v>
      </c>
      <c r="G2" s="378" t="s">
        <v>192</v>
      </c>
      <c r="H2" s="112" t="s">
        <v>316</v>
      </c>
      <c r="I2" s="113" t="s">
        <v>132</v>
      </c>
      <c r="J2" s="114" t="s">
        <v>133</v>
      </c>
      <c r="K2" s="115" t="s">
        <v>134</v>
      </c>
      <c r="L2" s="116" t="s">
        <v>135</v>
      </c>
      <c r="M2" s="117" t="s">
        <v>133</v>
      </c>
      <c r="N2" s="118" t="s">
        <v>16</v>
      </c>
      <c r="O2" s="119" t="s">
        <v>17</v>
      </c>
      <c r="P2" s="119" t="s">
        <v>42</v>
      </c>
      <c r="Q2" s="120" t="s">
        <v>136</v>
      </c>
      <c r="R2" s="172" t="s">
        <v>17</v>
      </c>
      <c r="S2" s="121" t="s">
        <v>137</v>
      </c>
      <c r="T2" s="122" t="s">
        <v>138</v>
      </c>
      <c r="U2" s="419"/>
      <c r="V2" s="36"/>
      <c r="W2" s="37"/>
      <c r="X2" s="37"/>
      <c r="Y2" s="37"/>
    </row>
    <row r="3" spans="1:25" s="145" customFormat="1" ht="15" thickBot="1" x14ac:dyDescent="0.35">
      <c r="G3" s="146"/>
      <c r="R3" s="176"/>
    </row>
    <row r="4" spans="1:25" s="87" customFormat="1" ht="15" thickBot="1" x14ac:dyDescent="0.35">
      <c r="A4" s="292" t="s">
        <v>110</v>
      </c>
      <c r="G4" s="161"/>
      <c r="R4" s="177"/>
    </row>
    <row r="5" spans="1:25" s="289" customFormat="1" x14ac:dyDescent="0.3">
      <c r="G5" s="131"/>
      <c r="R5" s="291"/>
    </row>
    <row r="6" spans="1:25" x14ac:dyDescent="0.3">
      <c r="R6" s="173"/>
      <c r="S6" s="130"/>
    </row>
    <row r="7" spans="1:25" x14ac:dyDescent="0.3">
      <c r="R7" s="173"/>
      <c r="S7" s="130"/>
    </row>
    <row r="8" spans="1:25" x14ac:dyDescent="0.3">
      <c r="C8" s="55" t="s">
        <v>139</v>
      </c>
      <c r="D8" s="55"/>
      <c r="H8" s="130">
        <f>COUNTIF(T5:T7,"*áno*")</f>
        <v>0</v>
      </c>
      <c r="R8" s="173"/>
      <c r="S8" s="130"/>
    </row>
    <row r="9" spans="1:25" x14ac:dyDescent="0.3">
      <c r="C9" s="55" t="s">
        <v>140</v>
      </c>
      <c r="D9" s="55"/>
      <c r="H9" s="130">
        <f>COUNTIF(E5:E7,"*w*")</f>
        <v>0</v>
      </c>
      <c r="R9" s="173"/>
      <c r="S9" s="130"/>
    </row>
    <row r="10" spans="1:25" x14ac:dyDescent="0.3">
      <c r="C10" s="55" t="s">
        <v>141</v>
      </c>
      <c r="D10" s="55"/>
      <c r="H10" s="130">
        <f>COUNTIF(E5:E7,"*P*")</f>
        <v>0</v>
      </c>
      <c r="R10" s="173"/>
      <c r="S10" s="130"/>
    </row>
    <row r="11" spans="1:25" x14ac:dyDescent="0.3">
      <c r="C11" s="55" t="s">
        <v>142</v>
      </c>
      <c r="D11" s="55"/>
      <c r="H11" s="130">
        <f>COUNTIF(E5:E7,"*L*")</f>
        <v>0</v>
      </c>
      <c r="R11" s="173"/>
      <c r="S11" s="130"/>
    </row>
    <row r="12" spans="1:25" x14ac:dyDescent="0.3">
      <c r="C12" s="55" t="s">
        <v>143</v>
      </c>
      <c r="D12" s="55"/>
      <c r="H12" s="130">
        <f>COUNTIF(E5:E7,"*V*")</f>
        <v>0</v>
      </c>
      <c r="R12" s="173"/>
      <c r="S12" s="130"/>
    </row>
    <row r="13" spans="1:25" x14ac:dyDescent="0.3">
      <c r="C13" s="55"/>
      <c r="D13" s="55"/>
      <c r="R13" s="173"/>
      <c r="S13" s="130"/>
    </row>
    <row r="14" spans="1:25" x14ac:dyDescent="0.3">
      <c r="C14" s="55" t="s">
        <v>144</v>
      </c>
      <c r="D14" s="55"/>
      <c r="H14" s="130">
        <f>COUNTIF(E5:E7,"*D*")</f>
        <v>0</v>
      </c>
      <c r="R14" s="173"/>
      <c r="S14" s="130"/>
    </row>
    <row r="15" spans="1:25" x14ac:dyDescent="0.3">
      <c r="C15" s="55" t="s">
        <v>145</v>
      </c>
      <c r="D15" s="55"/>
      <c r="H15" s="130">
        <f>COUNTIF(E5:E7,"*S*")</f>
        <v>0</v>
      </c>
      <c r="R15" s="173"/>
      <c r="S15" s="130"/>
    </row>
    <row r="16" spans="1:25" x14ac:dyDescent="0.3">
      <c r="C16" s="55" t="s">
        <v>146</v>
      </c>
      <c r="D16" s="55"/>
      <c r="H16" s="130">
        <f>COUNTIF(E5:E7,"*K*")</f>
        <v>0</v>
      </c>
      <c r="R16" s="173"/>
      <c r="S16" s="130"/>
    </row>
    <row r="17" spans="1:25" s="145" customFormat="1" ht="15" thickBot="1" x14ac:dyDescent="0.35">
      <c r="C17" s="156" t="s">
        <v>147</v>
      </c>
      <c r="D17" s="156"/>
      <c r="G17" s="131"/>
      <c r="H17" s="145">
        <f>COUNTIF(E5:E7,"*Z*")</f>
        <v>0</v>
      </c>
      <c r="R17" s="176"/>
    </row>
    <row r="18" spans="1:25" s="87" customFormat="1" ht="15" thickBot="1" x14ac:dyDescent="0.35">
      <c r="A18" s="292" t="s">
        <v>109</v>
      </c>
      <c r="C18" s="212"/>
      <c r="D18" s="212"/>
      <c r="G18" s="131"/>
      <c r="R18" s="177"/>
    </row>
    <row r="19" spans="1:25" s="289" customFormat="1" x14ac:dyDescent="0.3">
      <c r="C19" s="290"/>
      <c r="D19" s="290"/>
      <c r="G19" s="131"/>
      <c r="R19" s="291"/>
    </row>
    <row r="20" spans="1:25" x14ac:dyDescent="0.3">
      <c r="C20" s="55"/>
      <c r="D20" s="55"/>
      <c r="R20" s="173"/>
      <c r="S20" s="130"/>
    </row>
    <row r="21" spans="1:25" x14ac:dyDescent="0.3">
      <c r="C21" s="55"/>
      <c r="D21" s="55"/>
      <c r="R21" s="173"/>
      <c r="S21" s="130"/>
    </row>
    <row r="22" spans="1:25" x14ac:dyDescent="0.3">
      <c r="C22" s="55" t="s">
        <v>139</v>
      </c>
      <c r="D22" s="55"/>
      <c r="H22" s="130">
        <f>COUNTIF(T19:T21,"*áno*")</f>
        <v>0</v>
      </c>
      <c r="R22" s="173"/>
      <c r="S22" s="130"/>
    </row>
    <row r="23" spans="1:25" x14ac:dyDescent="0.3">
      <c r="C23" s="55" t="s">
        <v>140</v>
      </c>
      <c r="D23" s="55"/>
      <c r="H23" s="130">
        <f>COUNTIF(E19:E21,"*w*")</f>
        <v>0</v>
      </c>
      <c r="R23" s="173"/>
      <c r="S23" s="130"/>
    </row>
    <row r="24" spans="1:25" x14ac:dyDescent="0.3">
      <c r="C24" s="55" t="s">
        <v>141</v>
      </c>
      <c r="D24" s="55"/>
      <c r="H24" s="130">
        <f>COUNTIF(E19:E21,"*P*")</f>
        <v>0</v>
      </c>
      <c r="R24" s="173"/>
      <c r="S24" s="130"/>
    </row>
    <row r="25" spans="1:25" x14ac:dyDescent="0.3">
      <c r="C25" s="55" t="s">
        <v>142</v>
      </c>
      <c r="D25" s="55"/>
      <c r="H25" s="130">
        <f>COUNTIF(E19:E21,"*L*")</f>
        <v>0</v>
      </c>
      <c r="R25" s="173"/>
      <c r="S25" s="130"/>
    </row>
    <row r="26" spans="1:25" x14ac:dyDescent="0.3">
      <c r="C26" s="55" t="s">
        <v>143</v>
      </c>
      <c r="D26" s="55"/>
      <c r="H26" s="130">
        <f>COUNTIF(E19:E21,"*V*")</f>
        <v>0</v>
      </c>
      <c r="R26" s="173"/>
      <c r="S26" s="130"/>
    </row>
    <row r="27" spans="1:25" x14ac:dyDescent="0.3">
      <c r="C27" s="55"/>
      <c r="D27" s="55"/>
      <c r="R27" s="173"/>
      <c r="S27" s="130"/>
    </row>
    <row r="28" spans="1:25" x14ac:dyDescent="0.3">
      <c r="C28" s="55" t="s">
        <v>144</v>
      </c>
      <c r="D28" s="55"/>
      <c r="H28" s="130">
        <f>COUNTIF(E19:E21,"*D*")</f>
        <v>0</v>
      </c>
      <c r="R28" s="173"/>
      <c r="S28" s="130"/>
    </row>
    <row r="29" spans="1:25" x14ac:dyDescent="0.3">
      <c r="C29" s="55" t="s">
        <v>145</v>
      </c>
      <c r="D29" s="55"/>
      <c r="H29" s="130">
        <f>COUNTIF(E19:E21,"*S*")</f>
        <v>0</v>
      </c>
      <c r="R29" s="173"/>
      <c r="S29" s="130"/>
    </row>
    <row r="30" spans="1:25" x14ac:dyDescent="0.3">
      <c r="C30" s="55" t="s">
        <v>146</v>
      </c>
      <c r="D30" s="55"/>
      <c r="H30" s="130">
        <f>COUNTIF(E19:E21,"*K*")</f>
        <v>0</v>
      </c>
      <c r="R30" s="173"/>
      <c r="S30" s="130"/>
    </row>
    <row r="31" spans="1:25" ht="15" thickBot="1" x14ac:dyDescent="0.35">
      <c r="C31" s="55" t="s">
        <v>147</v>
      </c>
      <c r="D31" s="55"/>
      <c r="H31" s="130">
        <f>COUNTIF(E19:E21,"*Z*")</f>
        <v>0</v>
      </c>
      <c r="R31" s="173"/>
      <c r="S31" s="130"/>
    </row>
    <row r="32" spans="1:25" s="128" customFormat="1" ht="16.2" thickBot="1" x14ac:dyDescent="0.35">
      <c r="A32" s="124" t="s">
        <v>106</v>
      </c>
      <c r="B32" s="125"/>
      <c r="C32" s="125"/>
      <c r="D32" s="125"/>
      <c r="E32" s="125"/>
      <c r="F32" s="125"/>
      <c r="G32" s="131"/>
      <c r="H32" s="126"/>
      <c r="I32" s="127"/>
      <c r="J32" s="127"/>
      <c r="K32" s="127"/>
      <c r="L32" s="127"/>
      <c r="M32" s="127"/>
      <c r="N32" s="127"/>
      <c r="O32" s="127"/>
      <c r="P32" s="127"/>
      <c r="Q32" s="127"/>
      <c r="R32" s="174"/>
      <c r="S32" s="127"/>
      <c r="T32" s="127"/>
      <c r="V32" s="396"/>
      <c r="W32" s="396"/>
      <c r="X32" s="396"/>
      <c r="Y32" s="396"/>
    </row>
    <row r="33" spans="1:20" x14ac:dyDescent="0.3">
      <c r="A33" s="129"/>
      <c r="B33" s="311"/>
      <c r="H33" s="131"/>
      <c r="K33" s="133"/>
      <c r="L33" s="133"/>
      <c r="N33" s="134"/>
      <c r="O33" s="135"/>
      <c r="P33" s="135"/>
      <c r="Q33" s="136"/>
      <c r="R33" s="173"/>
      <c r="S33" s="132"/>
    </row>
    <row r="34" spans="1:20" x14ac:dyDescent="0.3">
      <c r="A34" s="129"/>
      <c r="B34" s="311"/>
      <c r="H34" s="131"/>
      <c r="K34" s="133"/>
      <c r="L34" s="133"/>
      <c r="N34" s="134"/>
      <c r="O34" s="135"/>
      <c r="P34" s="135"/>
      <c r="Q34" s="136"/>
      <c r="R34" s="173"/>
      <c r="S34" s="132"/>
    </row>
    <row r="35" spans="1:20" x14ac:dyDescent="0.3">
      <c r="A35" s="129"/>
      <c r="H35" s="131"/>
      <c r="K35" s="133"/>
      <c r="L35" s="133"/>
      <c r="N35" s="134"/>
      <c r="O35" s="135"/>
      <c r="P35" s="135"/>
      <c r="Q35" s="136"/>
      <c r="R35" s="173"/>
      <c r="S35" s="132"/>
    </row>
    <row r="36" spans="1:20" x14ac:dyDescent="0.3">
      <c r="A36" s="129"/>
      <c r="H36" s="131"/>
      <c r="K36" s="133"/>
      <c r="L36" s="133"/>
      <c r="N36" s="134"/>
      <c r="O36" s="135"/>
      <c r="P36" s="135"/>
      <c r="Q36" s="136"/>
      <c r="R36" s="173"/>
      <c r="S36" s="132"/>
    </row>
    <row r="37" spans="1:20" x14ac:dyDescent="0.3">
      <c r="A37" s="129"/>
      <c r="C37" s="55" t="s">
        <v>139</v>
      </c>
      <c r="D37" s="55"/>
      <c r="H37" s="130">
        <f>COUNTIF(T33:T36,"*áno*")</f>
        <v>0</v>
      </c>
      <c r="K37" s="133"/>
      <c r="L37" s="133"/>
      <c r="N37" s="134"/>
      <c r="O37" s="135"/>
      <c r="P37" s="135"/>
      <c r="Q37" s="136"/>
      <c r="R37" s="173"/>
      <c r="S37" s="132"/>
    </row>
    <row r="38" spans="1:20" x14ac:dyDescent="0.3">
      <c r="A38" s="129"/>
      <c r="C38" s="55" t="s">
        <v>140</v>
      </c>
      <c r="D38" s="55"/>
      <c r="H38" s="130">
        <f>COUNTIF(E33:E36,"*w*")</f>
        <v>0</v>
      </c>
      <c r="K38" s="133"/>
      <c r="L38" s="133"/>
      <c r="N38" s="134"/>
      <c r="O38" s="135"/>
      <c r="P38" s="135"/>
      <c r="Q38" s="136"/>
      <c r="R38" s="173"/>
      <c r="S38" s="132"/>
    </row>
    <row r="39" spans="1:20" x14ac:dyDescent="0.3">
      <c r="A39" s="129"/>
      <c r="C39" s="55" t="s">
        <v>141</v>
      </c>
      <c r="D39" s="55"/>
      <c r="H39" s="130">
        <f>COUNTIF(E33:E36,"*P*")</f>
        <v>0</v>
      </c>
      <c r="K39" s="133"/>
      <c r="L39" s="133"/>
      <c r="N39" s="134"/>
      <c r="O39" s="135"/>
      <c r="P39" s="135"/>
      <c r="Q39" s="136"/>
      <c r="R39" s="173"/>
      <c r="S39" s="132"/>
    </row>
    <row r="40" spans="1:20" x14ac:dyDescent="0.3">
      <c r="A40" s="129"/>
      <c r="C40" s="55" t="s">
        <v>142</v>
      </c>
      <c r="D40" s="55"/>
      <c r="H40" s="130">
        <f>COUNTIF(E33:E36,"*L*")</f>
        <v>0</v>
      </c>
      <c r="K40" s="133"/>
      <c r="L40" s="133"/>
      <c r="N40" s="134"/>
      <c r="O40" s="135"/>
      <c r="P40" s="135"/>
      <c r="Q40" s="136"/>
      <c r="R40" s="173"/>
      <c r="S40" s="132"/>
    </row>
    <row r="41" spans="1:20" x14ac:dyDescent="0.3">
      <c r="A41" s="129"/>
      <c r="C41" s="55" t="s">
        <v>143</v>
      </c>
      <c r="D41" s="55"/>
      <c r="H41" s="130">
        <f>COUNTIF(E33:E36,"*V*")</f>
        <v>0</v>
      </c>
      <c r="K41" s="133"/>
      <c r="L41" s="133"/>
      <c r="N41" s="134"/>
      <c r="O41" s="135"/>
      <c r="P41" s="135"/>
      <c r="Q41" s="136"/>
      <c r="R41" s="173"/>
      <c r="S41" s="132"/>
    </row>
    <row r="42" spans="1:20" x14ac:dyDescent="0.3">
      <c r="A42" s="129"/>
      <c r="C42" s="55"/>
      <c r="D42" s="55"/>
      <c r="K42" s="133"/>
      <c r="L42" s="133"/>
      <c r="N42" s="134"/>
      <c r="O42" s="135"/>
      <c r="P42" s="135"/>
      <c r="Q42" s="136"/>
      <c r="R42" s="173"/>
      <c r="S42" s="132"/>
    </row>
    <row r="43" spans="1:20" x14ac:dyDescent="0.3">
      <c r="A43" s="129"/>
      <c r="C43" s="55" t="s">
        <v>144</v>
      </c>
      <c r="D43" s="55"/>
      <c r="H43" s="130">
        <f>COUNTIF(E32:E32,"*D*")</f>
        <v>0</v>
      </c>
      <c r="K43" s="133"/>
      <c r="L43" s="133"/>
      <c r="N43" s="134"/>
      <c r="O43" s="135"/>
      <c r="P43" s="135"/>
      <c r="Q43" s="136"/>
      <c r="R43" s="173"/>
      <c r="S43" s="132"/>
    </row>
    <row r="44" spans="1:20" x14ac:dyDescent="0.3">
      <c r="A44" s="129"/>
      <c r="C44" s="55" t="s">
        <v>145</v>
      </c>
      <c r="D44" s="55"/>
      <c r="H44" s="130">
        <f>COUNTIF(E33:E36,"*S*")</f>
        <v>0</v>
      </c>
      <c r="K44" s="133"/>
      <c r="L44" s="133"/>
      <c r="N44" s="134"/>
      <c r="O44" s="135"/>
      <c r="P44" s="135"/>
      <c r="Q44" s="136"/>
      <c r="R44" s="173"/>
      <c r="S44" s="132"/>
    </row>
    <row r="45" spans="1:20" x14ac:dyDescent="0.3">
      <c r="A45" s="129"/>
      <c r="C45" s="55" t="s">
        <v>146</v>
      </c>
      <c r="D45" s="55"/>
      <c r="H45" s="130">
        <f>COUNTIF(E33:E36,"*K*")</f>
        <v>0</v>
      </c>
      <c r="K45" s="133"/>
      <c r="L45" s="133"/>
      <c r="N45" s="134"/>
      <c r="O45" s="135"/>
      <c r="P45" s="135"/>
      <c r="Q45" s="136"/>
      <c r="R45" s="173"/>
      <c r="S45" s="132"/>
    </row>
    <row r="46" spans="1:20" ht="15" thickBot="1" x14ac:dyDescent="0.35">
      <c r="A46" s="129"/>
      <c r="C46" s="55" t="s">
        <v>147</v>
      </c>
      <c r="D46" s="55"/>
      <c r="H46" s="130">
        <f>COUNTIF(E33:E36,"*Z*")</f>
        <v>0</v>
      </c>
      <c r="K46" s="133"/>
      <c r="L46" s="133"/>
      <c r="N46" s="134"/>
      <c r="O46" s="135"/>
      <c r="P46" s="135"/>
      <c r="Q46" s="136"/>
      <c r="R46" s="173"/>
      <c r="S46" s="132"/>
    </row>
    <row r="47" spans="1:20" s="125" customFormat="1" ht="16.2" thickBot="1" x14ac:dyDescent="0.35">
      <c r="A47" s="137" t="s">
        <v>107</v>
      </c>
      <c r="G47" s="131"/>
      <c r="H47" s="126"/>
      <c r="K47" s="139"/>
      <c r="L47" s="139"/>
      <c r="N47" s="140"/>
      <c r="O47" s="141"/>
      <c r="P47" s="141"/>
      <c r="Q47" s="142"/>
      <c r="R47" s="175"/>
      <c r="S47" s="138"/>
      <c r="T47" s="143"/>
    </row>
    <row r="48" spans="1:20" s="145" customFormat="1" x14ac:dyDescent="0.3">
      <c r="A48" s="144">
        <v>44676</v>
      </c>
      <c r="B48" s="145" t="s">
        <v>321</v>
      </c>
      <c r="C48" s="145" t="s">
        <v>301</v>
      </c>
      <c r="D48" s="145" t="s">
        <v>321</v>
      </c>
      <c r="E48" s="145" t="s">
        <v>302</v>
      </c>
      <c r="F48" s="145" t="s">
        <v>288</v>
      </c>
      <c r="G48" s="131"/>
      <c r="H48" s="146"/>
      <c r="K48" s="148"/>
      <c r="L48" s="148"/>
      <c r="N48" s="149">
        <v>0</v>
      </c>
      <c r="O48" s="150">
        <v>0</v>
      </c>
      <c r="P48" s="150">
        <v>0</v>
      </c>
      <c r="Q48" s="151">
        <v>0</v>
      </c>
      <c r="R48" s="176">
        <v>6</v>
      </c>
      <c r="S48" s="147">
        <v>5.9</v>
      </c>
      <c r="T48" s="145" t="s">
        <v>290</v>
      </c>
    </row>
    <row r="49" spans="1:19" s="145" customFormat="1" x14ac:dyDescent="0.3">
      <c r="A49" s="144"/>
      <c r="B49" s="153"/>
      <c r="G49" s="131"/>
      <c r="H49" s="146"/>
      <c r="K49" s="148"/>
      <c r="L49" s="148"/>
      <c r="N49" s="149"/>
      <c r="O49" s="150"/>
      <c r="P49" s="150"/>
      <c r="Q49" s="151"/>
      <c r="R49" s="176"/>
      <c r="S49" s="147"/>
    </row>
    <row r="50" spans="1:19" s="145" customFormat="1" x14ac:dyDescent="0.3">
      <c r="A50" s="144"/>
      <c r="B50" s="153"/>
      <c r="G50" s="131"/>
      <c r="H50" s="146"/>
      <c r="K50" s="148"/>
      <c r="L50" s="148"/>
      <c r="N50" s="149"/>
      <c r="O50" s="150"/>
      <c r="P50" s="150"/>
      <c r="Q50" s="151"/>
      <c r="R50" s="176"/>
      <c r="S50" s="147"/>
    </row>
    <row r="51" spans="1:19" s="145" customFormat="1" x14ac:dyDescent="0.3">
      <c r="A51" s="144"/>
      <c r="B51" s="153"/>
      <c r="G51" s="131"/>
      <c r="H51" s="146"/>
      <c r="K51" s="148"/>
      <c r="L51" s="148"/>
      <c r="N51" s="149"/>
      <c r="O51" s="150"/>
      <c r="P51" s="150"/>
      <c r="Q51" s="151"/>
      <c r="R51" s="176"/>
      <c r="S51" s="147"/>
    </row>
    <row r="52" spans="1:19" s="145" customFormat="1" x14ac:dyDescent="0.3">
      <c r="A52" s="144"/>
      <c r="B52" s="153"/>
      <c r="G52" s="131"/>
      <c r="H52" s="146"/>
      <c r="K52" s="148"/>
      <c r="L52" s="148"/>
      <c r="N52" s="149"/>
      <c r="O52" s="150"/>
      <c r="P52" s="150"/>
      <c r="Q52" s="151"/>
      <c r="R52" s="176"/>
      <c r="S52" s="147"/>
    </row>
    <row r="53" spans="1:19" s="145" customFormat="1" x14ac:dyDescent="0.3">
      <c r="A53" s="144"/>
      <c r="G53" s="131"/>
      <c r="H53" s="146"/>
      <c r="K53" s="148"/>
      <c r="L53" s="148"/>
      <c r="N53" s="149"/>
      <c r="O53" s="150"/>
      <c r="P53" s="150"/>
      <c r="Q53" s="151"/>
      <c r="R53" s="176"/>
      <c r="S53" s="147"/>
    </row>
    <row r="54" spans="1:19" x14ac:dyDescent="0.3">
      <c r="A54" s="129"/>
      <c r="H54" s="131"/>
      <c r="K54" s="133"/>
      <c r="L54" s="133"/>
      <c r="N54" s="134"/>
      <c r="O54" s="135"/>
      <c r="P54" s="135"/>
      <c r="Q54" s="136"/>
      <c r="R54" s="173"/>
      <c r="S54" s="132"/>
    </row>
    <row r="55" spans="1:19" x14ac:dyDescent="0.3">
      <c r="A55" s="129"/>
      <c r="C55" s="55" t="s">
        <v>139</v>
      </c>
      <c r="D55" s="55"/>
      <c r="H55" s="130">
        <f>COUNTIF(T48:T54,"*áno*")</f>
        <v>1</v>
      </c>
      <c r="K55" s="133"/>
      <c r="L55" s="133"/>
      <c r="N55" s="134"/>
      <c r="O55" s="135"/>
      <c r="P55" s="135"/>
      <c r="Q55" s="136"/>
      <c r="R55" s="173"/>
      <c r="S55" s="132"/>
    </row>
    <row r="56" spans="1:19" x14ac:dyDescent="0.3">
      <c r="A56" s="129"/>
      <c r="C56" s="55" t="s">
        <v>140</v>
      </c>
      <c r="D56" s="55"/>
      <c r="H56" s="130">
        <f>COUNTIF(E48:E54,"*w*")</f>
        <v>1</v>
      </c>
      <c r="K56" s="133"/>
      <c r="L56" s="133"/>
      <c r="N56" s="134"/>
      <c r="O56" s="135"/>
      <c r="P56" s="135"/>
      <c r="Q56" s="136"/>
      <c r="R56" s="173"/>
      <c r="S56" s="132"/>
    </row>
    <row r="57" spans="1:19" x14ac:dyDescent="0.3">
      <c r="A57" s="129"/>
      <c r="C57" s="55" t="s">
        <v>141</v>
      </c>
      <c r="D57" s="55"/>
      <c r="H57" s="130">
        <f>COUNTIF(E48:E54,"*P*")</f>
        <v>0</v>
      </c>
      <c r="K57" s="133"/>
      <c r="L57" s="133"/>
      <c r="N57" s="134"/>
      <c r="O57" s="135"/>
      <c r="P57" s="135"/>
      <c r="Q57" s="136"/>
      <c r="R57" s="173"/>
      <c r="S57" s="132"/>
    </row>
    <row r="58" spans="1:19" x14ac:dyDescent="0.3">
      <c r="A58" s="129"/>
      <c r="C58" s="55" t="s">
        <v>142</v>
      </c>
      <c r="D58" s="55"/>
      <c r="H58" s="130">
        <f>COUNTIF(E48:E54,"*L*")</f>
        <v>0</v>
      </c>
      <c r="K58" s="133"/>
      <c r="L58" s="133"/>
      <c r="N58" s="134"/>
      <c r="O58" s="135"/>
      <c r="P58" s="135"/>
      <c r="Q58" s="136"/>
      <c r="R58" s="173"/>
      <c r="S58" s="132"/>
    </row>
    <row r="59" spans="1:19" x14ac:dyDescent="0.3">
      <c r="A59" s="129"/>
      <c r="C59" s="55" t="s">
        <v>143</v>
      </c>
      <c r="D59" s="55"/>
      <c r="H59" s="130">
        <f>COUNTIF(E48:E54,"*V*")</f>
        <v>1</v>
      </c>
      <c r="K59" s="133"/>
      <c r="L59" s="133"/>
      <c r="N59" s="134"/>
      <c r="O59" s="135"/>
      <c r="P59" s="135"/>
      <c r="Q59" s="136"/>
      <c r="R59" s="173"/>
      <c r="S59" s="132"/>
    </row>
    <row r="60" spans="1:19" x14ac:dyDescent="0.3">
      <c r="A60" s="129"/>
      <c r="C60" s="55"/>
      <c r="D60" s="55"/>
      <c r="K60" s="133"/>
      <c r="L60" s="133"/>
      <c r="N60" s="134"/>
      <c r="O60" s="135"/>
      <c r="P60" s="135"/>
      <c r="Q60" s="136"/>
      <c r="R60" s="173"/>
      <c r="S60" s="132"/>
    </row>
    <row r="61" spans="1:19" x14ac:dyDescent="0.3">
      <c r="A61" s="129"/>
      <c r="C61" s="55" t="s">
        <v>144</v>
      </c>
      <c r="D61" s="55"/>
      <c r="H61" s="130">
        <f>COUNTIF(E48:E54,"*D*")</f>
        <v>0</v>
      </c>
      <c r="K61" s="133"/>
      <c r="L61" s="133"/>
      <c r="N61" s="134"/>
      <c r="O61" s="135"/>
      <c r="P61" s="135"/>
      <c r="Q61" s="136"/>
      <c r="R61" s="173"/>
      <c r="S61" s="132"/>
    </row>
    <row r="62" spans="1:19" x14ac:dyDescent="0.3">
      <c r="A62" s="129"/>
      <c r="C62" s="55" t="s">
        <v>145</v>
      </c>
      <c r="D62" s="55"/>
      <c r="H62" s="130">
        <f>COUNTIF(E48:E54,"*S*")</f>
        <v>0</v>
      </c>
      <c r="K62" s="133"/>
      <c r="L62" s="133"/>
      <c r="N62" s="134"/>
      <c r="O62" s="135"/>
      <c r="P62" s="135"/>
      <c r="Q62" s="136"/>
      <c r="R62" s="173"/>
      <c r="S62" s="132"/>
    </row>
    <row r="63" spans="1:19" x14ac:dyDescent="0.3">
      <c r="A63" s="129"/>
      <c r="C63" s="55" t="s">
        <v>146</v>
      </c>
      <c r="D63" s="55"/>
      <c r="H63" s="130">
        <f>COUNTIF(E48:E54,"*K*")</f>
        <v>0</v>
      </c>
      <c r="K63" s="133"/>
      <c r="L63" s="133"/>
      <c r="N63" s="134"/>
      <c r="O63" s="135"/>
      <c r="P63" s="135"/>
      <c r="Q63" s="136"/>
      <c r="R63" s="173"/>
      <c r="S63" s="132"/>
    </row>
    <row r="64" spans="1:19" ht="15" thickBot="1" x14ac:dyDescent="0.35">
      <c r="A64" s="129"/>
      <c r="C64" s="55" t="s">
        <v>147</v>
      </c>
      <c r="D64" s="55"/>
      <c r="H64" s="130">
        <f>COUNTIF(E48:E54,"*Z*")</f>
        <v>0</v>
      </c>
      <c r="K64" s="133"/>
      <c r="L64" s="133"/>
      <c r="N64" s="134"/>
      <c r="O64" s="135"/>
      <c r="P64" s="135"/>
      <c r="Q64" s="136"/>
      <c r="R64" s="173"/>
      <c r="S64" s="132"/>
    </row>
    <row r="65" spans="1:21" s="125" customFormat="1" ht="16.2" thickBot="1" x14ac:dyDescent="0.35">
      <c r="A65" s="137" t="s">
        <v>108</v>
      </c>
      <c r="G65" s="131"/>
      <c r="H65" s="126"/>
      <c r="K65" s="139"/>
      <c r="L65" s="139"/>
      <c r="N65" s="140"/>
      <c r="O65" s="141"/>
      <c r="P65" s="141"/>
      <c r="Q65" s="142"/>
      <c r="R65" s="175"/>
      <c r="S65" s="138"/>
    </row>
    <row r="66" spans="1:21" ht="28.8" x14ac:dyDescent="0.3">
      <c r="A66" s="129">
        <v>44684</v>
      </c>
      <c r="B66" s="311" t="s">
        <v>285</v>
      </c>
      <c r="C66" s="130" t="s">
        <v>286</v>
      </c>
      <c r="D66" s="130" t="s">
        <v>287</v>
      </c>
      <c r="E66" s="130" t="s">
        <v>291</v>
      </c>
      <c r="F66" s="130" t="s">
        <v>288</v>
      </c>
      <c r="H66" s="131">
        <v>42</v>
      </c>
      <c r="I66" s="130" t="s">
        <v>289</v>
      </c>
      <c r="J66" s="130" t="s">
        <v>253</v>
      </c>
      <c r="K66" s="133">
        <v>9.5</v>
      </c>
      <c r="L66" s="133">
        <v>2.2999999999999998</v>
      </c>
      <c r="M66" s="130" t="s">
        <v>253</v>
      </c>
      <c r="N66" s="134">
        <v>12</v>
      </c>
      <c r="O66" s="135">
        <v>1.1000000000000001</v>
      </c>
      <c r="P66" s="135">
        <v>0</v>
      </c>
      <c r="Q66" s="136">
        <v>0</v>
      </c>
      <c r="R66" s="173">
        <v>26</v>
      </c>
      <c r="S66" s="132">
        <v>3</v>
      </c>
      <c r="T66" s="130" t="s">
        <v>290</v>
      </c>
    </row>
    <row r="67" spans="1:21" ht="28.8" x14ac:dyDescent="0.3">
      <c r="A67" s="129">
        <v>44687</v>
      </c>
      <c r="B67" s="311" t="s">
        <v>299</v>
      </c>
      <c r="C67" s="130" t="s">
        <v>286</v>
      </c>
      <c r="D67" s="130" t="s">
        <v>287</v>
      </c>
      <c r="E67" s="130" t="s">
        <v>291</v>
      </c>
      <c r="F67" s="130" t="s">
        <v>288</v>
      </c>
      <c r="H67" s="131">
        <v>56</v>
      </c>
      <c r="I67" s="130" t="s">
        <v>289</v>
      </c>
      <c r="J67" s="130" t="s">
        <v>295</v>
      </c>
      <c r="K67" s="133">
        <v>7.5</v>
      </c>
      <c r="L67" s="133">
        <v>2.8</v>
      </c>
      <c r="M67" s="130" t="s">
        <v>213</v>
      </c>
      <c r="N67" s="134">
        <v>108</v>
      </c>
      <c r="O67" s="135">
        <v>18.3</v>
      </c>
      <c r="P67" s="135">
        <v>0</v>
      </c>
      <c r="Q67" s="136">
        <v>0</v>
      </c>
      <c r="R67" s="173">
        <v>252</v>
      </c>
      <c r="S67" s="132">
        <v>1.2</v>
      </c>
      <c r="T67" s="130" t="s">
        <v>290</v>
      </c>
    </row>
    <row r="68" spans="1:21" ht="28.8" x14ac:dyDescent="0.3">
      <c r="A68" s="129">
        <v>44688</v>
      </c>
      <c r="B68" s="311" t="s">
        <v>300</v>
      </c>
      <c r="C68" s="130" t="s">
        <v>286</v>
      </c>
      <c r="D68" s="130" t="s">
        <v>296</v>
      </c>
      <c r="E68" s="130" t="s">
        <v>298</v>
      </c>
      <c r="F68" s="130" t="s">
        <v>288</v>
      </c>
      <c r="H68" s="131">
        <v>21</v>
      </c>
      <c r="I68" s="130" t="s">
        <v>289</v>
      </c>
      <c r="J68" s="130" t="s">
        <v>297</v>
      </c>
      <c r="K68" s="133">
        <v>5.4</v>
      </c>
      <c r="L68" s="133">
        <v>1.8</v>
      </c>
      <c r="M68" s="130" t="s">
        <v>253</v>
      </c>
      <c r="N68" s="134">
        <v>0</v>
      </c>
      <c r="O68" s="135">
        <v>0</v>
      </c>
      <c r="P68" s="135">
        <v>0</v>
      </c>
      <c r="Q68" s="136">
        <v>0</v>
      </c>
      <c r="R68" s="173">
        <v>68</v>
      </c>
      <c r="S68" s="132">
        <v>4</v>
      </c>
      <c r="T68" s="130" t="s">
        <v>290</v>
      </c>
    </row>
    <row r="69" spans="1:21" x14ac:dyDescent="0.3">
      <c r="A69" s="129">
        <v>44693</v>
      </c>
      <c r="B69" s="311" t="s">
        <v>307</v>
      </c>
      <c r="C69" s="130" t="s">
        <v>310</v>
      </c>
      <c r="D69" s="130" t="s">
        <v>308</v>
      </c>
      <c r="E69" s="130" t="s">
        <v>309</v>
      </c>
      <c r="F69" s="130" t="s">
        <v>288</v>
      </c>
      <c r="G69" s="131">
        <v>58</v>
      </c>
      <c r="H69" s="131">
        <v>16</v>
      </c>
      <c r="I69" s="130" t="s">
        <v>289</v>
      </c>
      <c r="J69" s="130" t="s">
        <v>252</v>
      </c>
      <c r="K69" s="133">
        <v>3.7</v>
      </c>
      <c r="L69" s="133">
        <v>1.1000000000000001</v>
      </c>
      <c r="M69" s="130" t="s">
        <v>211</v>
      </c>
      <c r="N69" s="134">
        <v>0</v>
      </c>
      <c r="O69" s="135">
        <v>0</v>
      </c>
      <c r="P69" s="135">
        <v>0</v>
      </c>
      <c r="Q69" s="136">
        <v>0</v>
      </c>
      <c r="R69" s="173">
        <v>11</v>
      </c>
      <c r="S69" s="132">
        <v>9.9</v>
      </c>
      <c r="T69" s="130" t="s">
        <v>290</v>
      </c>
    </row>
    <row r="70" spans="1:21" ht="187.2" x14ac:dyDescent="0.3">
      <c r="A70" s="129">
        <v>44694</v>
      </c>
      <c r="B70" s="311" t="s">
        <v>311</v>
      </c>
      <c r="C70" s="130" t="s">
        <v>314</v>
      </c>
      <c r="D70" s="130" t="s">
        <v>312</v>
      </c>
      <c r="E70" s="130" t="s">
        <v>291</v>
      </c>
      <c r="F70" s="130" t="s">
        <v>313</v>
      </c>
      <c r="G70" s="131">
        <v>65</v>
      </c>
      <c r="H70" s="131">
        <v>49</v>
      </c>
      <c r="I70" s="130" t="s">
        <v>317</v>
      </c>
      <c r="J70" s="130" t="s">
        <v>254</v>
      </c>
      <c r="K70" s="133">
        <v>9.1999999999999993</v>
      </c>
      <c r="L70" s="133">
        <v>3.2</v>
      </c>
      <c r="M70" s="130" t="s">
        <v>213</v>
      </c>
      <c r="N70" s="134">
        <v>18</v>
      </c>
      <c r="O70" s="135">
        <v>1.1000000000000001</v>
      </c>
      <c r="P70" s="135">
        <v>0</v>
      </c>
      <c r="Q70" s="136">
        <v>0</v>
      </c>
      <c r="R70" s="173">
        <v>155</v>
      </c>
      <c r="S70" s="132">
        <v>1.9</v>
      </c>
      <c r="T70" s="130" t="s">
        <v>290</v>
      </c>
      <c r="U70" s="130" t="s">
        <v>315</v>
      </c>
    </row>
    <row r="71" spans="1:21" ht="28.8" x14ac:dyDescent="0.3">
      <c r="A71" s="129">
        <v>44706</v>
      </c>
      <c r="B71" s="311" t="s">
        <v>321</v>
      </c>
      <c r="C71" s="130" t="s">
        <v>314</v>
      </c>
      <c r="D71" s="130" t="s">
        <v>323</v>
      </c>
      <c r="E71" s="130" t="s">
        <v>322</v>
      </c>
      <c r="F71" s="130" t="s">
        <v>324</v>
      </c>
      <c r="H71" s="131"/>
      <c r="I71" s="130" t="s">
        <v>325</v>
      </c>
      <c r="K71" s="133"/>
      <c r="L71" s="133"/>
      <c r="N71" s="134">
        <v>84</v>
      </c>
      <c r="O71" s="135">
        <v>18.399999999999999</v>
      </c>
      <c r="P71" s="135">
        <v>0</v>
      </c>
      <c r="Q71" s="136">
        <v>0</v>
      </c>
      <c r="R71" s="173">
        <v>9</v>
      </c>
      <c r="S71" s="132">
        <v>11.8</v>
      </c>
      <c r="T71" s="130" t="s">
        <v>290</v>
      </c>
    </row>
    <row r="72" spans="1:21" x14ac:dyDescent="0.3">
      <c r="A72" s="129"/>
      <c r="B72" s="311"/>
      <c r="H72" s="131"/>
      <c r="K72" s="133"/>
      <c r="L72" s="133"/>
      <c r="N72" s="134"/>
      <c r="O72" s="135"/>
      <c r="P72" s="135"/>
      <c r="Q72" s="136"/>
      <c r="R72" s="173"/>
      <c r="S72" s="132"/>
    </row>
    <row r="73" spans="1:21" x14ac:dyDescent="0.3">
      <c r="A73" s="129"/>
      <c r="H73" s="131"/>
      <c r="K73" s="133"/>
      <c r="L73" s="133"/>
      <c r="N73" s="134"/>
      <c r="O73" s="135"/>
      <c r="P73" s="135"/>
      <c r="Q73" s="136"/>
      <c r="R73" s="173"/>
      <c r="S73" s="132"/>
    </row>
    <row r="74" spans="1:21" x14ac:dyDescent="0.3">
      <c r="A74" s="129"/>
      <c r="H74" s="131"/>
      <c r="K74" s="133"/>
      <c r="L74" s="133"/>
      <c r="N74" s="134"/>
      <c r="O74" s="135"/>
      <c r="P74" s="135"/>
      <c r="Q74" s="136"/>
      <c r="R74" s="173"/>
      <c r="S74" s="132"/>
    </row>
    <row r="75" spans="1:21" x14ac:dyDescent="0.3">
      <c r="A75" s="129"/>
      <c r="C75" s="55" t="s">
        <v>139</v>
      </c>
      <c r="D75" s="55"/>
      <c r="H75" s="130">
        <f>COUNTIF(T66:T74,"*áno*")</f>
        <v>6</v>
      </c>
      <c r="K75" s="133"/>
      <c r="L75" s="133"/>
      <c r="N75" s="134"/>
      <c r="O75" s="135"/>
      <c r="P75" s="135"/>
      <c r="Q75" s="136"/>
      <c r="R75" s="173"/>
      <c r="S75" s="132"/>
    </row>
    <row r="76" spans="1:21" x14ac:dyDescent="0.3">
      <c r="A76" s="129"/>
      <c r="C76" s="55" t="s">
        <v>140</v>
      </c>
      <c r="D76" s="55"/>
      <c r="H76" s="130">
        <f>COUNTIF(E66:E74,"*w*")</f>
        <v>6</v>
      </c>
      <c r="K76" s="133"/>
      <c r="L76" s="133"/>
      <c r="N76" s="134"/>
      <c r="O76" s="135"/>
      <c r="P76" s="135"/>
      <c r="Q76" s="136"/>
      <c r="R76" s="173"/>
      <c r="S76" s="132"/>
    </row>
    <row r="77" spans="1:21" x14ac:dyDescent="0.3">
      <c r="A77" s="129"/>
      <c r="C77" s="55" t="s">
        <v>141</v>
      </c>
      <c r="D77" s="55"/>
      <c r="H77" s="130">
        <f>COUNTIF(E66:E74,"*P*")</f>
        <v>3</v>
      </c>
      <c r="K77" s="133"/>
      <c r="L77" s="133"/>
      <c r="N77" s="134"/>
      <c r="O77" s="135"/>
      <c r="P77" s="135"/>
      <c r="Q77" s="136"/>
      <c r="R77" s="173"/>
      <c r="S77" s="132"/>
    </row>
    <row r="78" spans="1:21" x14ac:dyDescent="0.3">
      <c r="A78" s="129"/>
      <c r="C78" s="55" t="s">
        <v>142</v>
      </c>
      <c r="D78" s="55"/>
      <c r="H78" s="130">
        <f>COUNTIF(E66:E74,"*L*")</f>
        <v>1</v>
      </c>
      <c r="K78" s="133"/>
      <c r="L78" s="133"/>
      <c r="N78" s="134"/>
      <c r="O78" s="135"/>
      <c r="P78" s="135"/>
      <c r="Q78" s="136"/>
      <c r="R78" s="173"/>
      <c r="S78" s="132"/>
    </row>
    <row r="79" spans="1:21" x14ac:dyDescent="0.3">
      <c r="A79" s="129"/>
      <c r="C79" s="55" t="s">
        <v>143</v>
      </c>
      <c r="D79" s="55"/>
      <c r="H79" s="130">
        <f>COUNTIF(E66:E74,"*V*")</f>
        <v>2</v>
      </c>
      <c r="K79" s="133"/>
      <c r="L79" s="133"/>
      <c r="N79" s="134"/>
      <c r="O79" s="135"/>
      <c r="P79" s="135"/>
      <c r="Q79" s="136"/>
      <c r="R79" s="173"/>
      <c r="S79" s="132"/>
    </row>
    <row r="80" spans="1:21" x14ac:dyDescent="0.3">
      <c r="A80" s="129"/>
      <c r="C80" s="55"/>
      <c r="D80" s="55"/>
      <c r="K80" s="133"/>
      <c r="L80" s="133"/>
      <c r="N80" s="134"/>
      <c r="O80" s="135"/>
      <c r="P80" s="135"/>
      <c r="Q80" s="136"/>
      <c r="R80" s="173"/>
      <c r="S80" s="132"/>
    </row>
    <row r="81" spans="1:21" x14ac:dyDescent="0.3">
      <c r="A81" s="129"/>
      <c r="C81" s="55" t="s">
        <v>144</v>
      </c>
      <c r="D81" s="55"/>
      <c r="H81" s="130">
        <f>COUNTIF(E66:E74,"*D*")</f>
        <v>5</v>
      </c>
      <c r="K81" s="133"/>
      <c r="L81" s="133"/>
      <c r="N81" s="134"/>
      <c r="O81" s="135"/>
      <c r="P81" s="135"/>
      <c r="Q81" s="136"/>
      <c r="R81" s="173"/>
      <c r="S81" s="132"/>
    </row>
    <row r="82" spans="1:21" x14ac:dyDescent="0.3">
      <c r="A82" s="129"/>
      <c r="C82" s="55" t="s">
        <v>145</v>
      </c>
      <c r="D82" s="55"/>
      <c r="H82" s="130">
        <f>COUNTIF(E66:E74,"*S*")</f>
        <v>0</v>
      </c>
      <c r="K82" s="133"/>
      <c r="L82" s="133"/>
      <c r="N82" s="134"/>
      <c r="O82" s="135"/>
      <c r="P82" s="135"/>
      <c r="Q82" s="136"/>
      <c r="R82" s="173"/>
      <c r="S82" s="132"/>
    </row>
    <row r="83" spans="1:21" x14ac:dyDescent="0.3">
      <c r="A83" s="129"/>
      <c r="C83" s="55" t="s">
        <v>146</v>
      </c>
      <c r="D83" s="55"/>
      <c r="H83" s="130">
        <f>COUNTIF(E66:E74,"*K*")</f>
        <v>0</v>
      </c>
      <c r="K83" s="133"/>
      <c r="L83" s="133"/>
      <c r="N83" s="134"/>
      <c r="O83" s="135"/>
      <c r="P83" s="135"/>
      <c r="Q83" s="136"/>
      <c r="R83" s="173"/>
      <c r="S83" s="132"/>
    </row>
    <row r="84" spans="1:21" s="145" customFormat="1" ht="15" thickBot="1" x14ac:dyDescent="0.35">
      <c r="A84" s="144"/>
      <c r="C84" s="156" t="s">
        <v>147</v>
      </c>
      <c r="D84" s="156"/>
      <c r="G84" s="146"/>
      <c r="H84" s="145">
        <f>COUNTIF(E66:E74,"*Z*")</f>
        <v>4</v>
      </c>
      <c r="K84" s="148"/>
      <c r="L84" s="148"/>
      <c r="N84" s="149"/>
      <c r="O84" s="150"/>
      <c r="P84" s="150"/>
      <c r="Q84" s="151"/>
      <c r="R84" s="176"/>
      <c r="S84" s="147"/>
    </row>
    <row r="85" spans="1:21" s="125" customFormat="1" ht="16.2" thickBot="1" x14ac:dyDescent="0.35">
      <c r="A85" s="137" t="s">
        <v>112</v>
      </c>
      <c r="G85" s="161"/>
      <c r="H85" s="126"/>
      <c r="K85" s="139"/>
      <c r="L85" s="139"/>
      <c r="N85" s="140"/>
      <c r="O85" s="141"/>
      <c r="P85" s="141"/>
      <c r="Q85" s="142"/>
      <c r="R85" s="175"/>
      <c r="S85" s="138"/>
    </row>
    <row r="86" spans="1:21" s="385" customFormat="1" ht="28.8" x14ac:dyDescent="0.3">
      <c r="A86" s="383">
        <v>44717</v>
      </c>
      <c r="B86" s="384" t="s">
        <v>326</v>
      </c>
      <c r="C86" s="385" t="s">
        <v>327</v>
      </c>
      <c r="D86" s="385" t="s">
        <v>328</v>
      </c>
      <c r="E86" s="385" t="s">
        <v>331</v>
      </c>
      <c r="F86" s="385" t="s">
        <v>288</v>
      </c>
      <c r="G86" s="386">
        <v>63</v>
      </c>
      <c r="H86" s="387">
        <v>28</v>
      </c>
      <c r="I86" s="385" t="s">
        <v>329</v>
      </c>
      <c r="J86" s="385" t="s">
        <v>330</v>
      </c>
      <c r="K86" s="388">
        <v>5.0999999999999996</v>
      </c>
      <c r="L86" s="388">
        <v>2.2999999999999998</v>
      </c>
      <c r="M86" s="385" t="s">
        <v>214</v>
      </c>
      <c r="N86" s="389">
        <v>0</v>
      </c>
      <c r="O86" s="390">
        <v>0</v>
      </c>
      <c r="P86" s="390">
        <v>0</v>
      </c>
      <c r="Q86" s="391">
        <v>0</v>
      </c>
      <c r="R86" s="392">
        <v>32</v>
      </c>
      <c r="S86" s="393">
        <v>6</v>
      </c>
      <c r="T86" s="385" t="s">
        <v>290</v>
      </c>
    </row>
    <row r="87" spans="1:21" s="145" customFormat="1" ht="86.4" x14ac:dyDescent="0.3">
      <c r="A87" s="144">
        <v>44723</v>
      </c>
      <c r="B87" s="153" t="s">
        <v>333</v>
      </c>
      <c r="C87" s="145" t="s">
        <v>314</v>
      </c>
      <c r="D87" s="145" t="s">
        <v>308</v>
      </c>
      <c r="E87" s="145" t="s">
        <v>322</v>
      </c>
      <c r="F87" s="145" t="s">
        <v>324</v>
      </c>
      <c r="G87" s="131">
        <v>62</v>
      </c>
      <c r="H87" s="146">
        <v>49</v>
      </c>
      <c r="I87" s="145" t="s">
        <v>332</v>
      </c>
      <c r="J87" s="145" t="s">
        <v>249</v>
      </c>
      <c r="K87" s="148">
        <v>4.8</v>
      </c>
      <c r="L87" s="148">
        <v>1.1000000000000001</v>
      </c>
      <c r="M87" s="145" t="s">
        <v>253</v>
      </c>
      <c r="N87" s="149">
        <v>36</v>
      </c>
      <c r="O87" s="150">
        <v>5.9</v>
      </c>
      <c r="P87" s="150">
        <v>0</v>
      </c>
      <c r="Q87" s="151">
        <v>0</v>
      </c>
      <c r="R87" s="176">
        <v>14</v>
      </c>
      <c r="S87" s="147">
        <v>9</v>
      </c>
      <c r="T87" s="145" t="s">
        <v>290</v>
      </c>
      <c r="U87" s="145" t="s">
        <v>334</v>
      </c>
    </row>
    <row r="88" spans="1:21" s="145" customFormat="1" ht="28.8" x14ac:dyDescent="0.3">
      <c r="A88" s="144">
        <v>44725</v>
      </c>
      <c r="B88" s="153" t="s">
        <v>338</v>
      </c>
      <c r="C88" s="145" t="s">
        <v>337</v>
      </c>
      <c r="D88" s="145" t="s">
        <v>323</v>
      </c>
      <c r="E88" s="145" t="s">
        <v>348</v>
      </c>
      <c r="F88" s="145" t="s">
        <v>288</v>
      </c>
      <c r="G88" s="131">
        <v>54</v>
      </c>
      <c r="H88" s="146">
        <v>49</v>
      </c>
      <c r="I88" s="145" t="s">
        <v>339</v>
      </c>
      <c r="J88" s="145" t="s">
        <v>255</v>
      </c>
      <c r="K88" s="148">
        <v>8.5</v>
      </c>
      <c r="L88" s="148">
        <v>2.1</v>
      </c>
      <c r="M88" s="145" t="s">
        <v>215</v>
      </c>
      <c r="N88" s="149">
        <v>0</v>
      </c>
      <c r="O88" s="150">
        <v>0</v>
      </c>
      <c r="P88" s="150">
        <v>0</v>
      </c>
      <c r="Q88" s="151">
        <v>0</v>
      </c>
      <c r="R88" s="176">
        <v>34</v>
      </c>
      <c r="S88" s="147">
        <v>4.9000000000000004</v>
      </c>
      <c r="T88" s="145" t="s">
        <v>290</v>
      </c>
      <c r="U88" s="145" t="s">
        <v>349</v>
      </c>
    </row>
    <row r="89" spans="1:21" s="145" customFormat="1" ht="28.8" x14ac:dyDescent="0.3">
      <c r="A89" s="144">
        <v>44740</v>
      </c>
      <c r="B89" s="153" t="s">
        <v>345</v>
      </c>
      <c r="C89" s="145" t="s">
        <v>310</v>
      </c>
      <c r="D89" s="145" t="s">
        <v>328</v>
      </c>
      <c r="E89" s="145" t="s">
        <v>309</v>
      </c>
      <c r="F89" s="145" t="s">
        <v>324</v>
      </c>
      <c r="G89" s="131">
        <v>60</v>
      </c>
      <c r="H89" s="146">
        <v>23</v>
      </c>
      <c r="I89" s="145" t="s">
        <v>339</v>
      </c>
      <c r="J89" s="145" t="s">
        <v>346</v>
      </c>
      <c r="K89" s="148">
        <v>7.1</v>
      </c>
      <c r="L89" s="148">
        <v>3.6</v>
      </c>
      <c r="M89" s="145" t="s">
        <v>253</v>
      </c>
      <c r="N89" s="149">
        <v>0</v>
      </c>
      <c r="O89" s="150">
        <v>0</v>
      </c>
      <c r="P89" s="150">
        <v>0</v>
      </c>
      <c r="Q89" s="151">
        <v>0</v>
      </c>
      <c r="R89" s="176">
        <v>5</v>
      </c>
      <c r="S89" s="147">
        <v>5.7</v>
      </c>
      <c r="T89" s="145" t="s">
        <v>290</v>
      </c>
    </row>
    <row r="90" spans="1:21" s="145" customFormat="1" x14ac:dyDescent="0.3">
      <c r="A90" s="144"/>
      <c r="B90" s="153"/>
      <c r="G90" s="131"/>
      <c r="H90" s="146"/>
      <c r="K90" s="148"/>
      <c r="L90" s="148"/>
      <c r="N90" s="149"/>
      <c r="O90" s="150"/>
      <c r="P90" s="150"/>
      <c r="Q90" s="151"/>
      <c r="R90" s="176"/>
      <c r="S90" s="147"/>
    </row>
    <row r="91" spans="1:21" s="145" customFormat="1" x14ac:dyDescent="0.3">
      <c r="A91" s="144"/>
      <c r="B91" s="153"/>
      <c r="G91" s="131"/>
      <c r="H91" s="146"/>
      <c r="K91" s="148"/>
      <c r="L91" s="148"/>
      <c r="N91" s="149"/>
      <c r="O91" s="150"/>
      <c r="P91" s="150"/>
      <c r="Q91" s="151"/>
      <c r="R91" s="176"/>
      <c r="S91" s="147"/>
    </row>
    <row r="92" spans="1:21" s="145" customFormat="1" x14ac:dyDescent="0.3">
      <c r="A92" s="144"/>
      <c r="B92" s="153"/>
      <c r="G92" s="131"/>
      <c r="H92" s="146"/>
      <c r="K92" s="148"/>
      <c r="L92" s="148"/>
      <c r="N92" s="149"/>
      <c r="O92" s="150"/>
      <c r="P92" s="150"/>
      <c r="Q92" s="151"/>
      <c r="R92" s="176"/>
      <c r="S92" s="147"/>
    </row>
    <row r="93" spans="1:21" s="145" customFormat="1" x14ac:dyDescent="0.3">
      <c r="A93" s="144"/>
      <c r="B93" s="153"/>
      <c r="G93" s="131"/>
      <c r="H93" s="146"/>
      <c r="K93" s="148"/>
      <c r="L93" s="148"/>
      <c r="N93" s="149"/>
      <c r="O93" s="150"/>
      <c r="P93" s="150"/>
      <c r="Q93" s="151"/>
      <c r="R93" s="176"/>
      <c r="S93" s="147"/>
    </row>
    <row r="94" spans="1:21" s="145" customFormat="1" x14ac:dyDescent="0.3">
      <c r="A94" s="144"/>
      <c r="B94" s="153"/>
      <c r="G94" s="131"/>
      <c r="H94" s="146"/>
      <c r="K94" s="148"/>
      <c r="L94" s="148"/>
      <c r="N94" s="149"/>
      <c r="O94" s="150"/>
      <c r="P94" s="150"/>
      <c r="Q94" s="151"/>
      <c r="R94" s="176"/>
      <c r="S94" s="147"/>
    </row>
    <row r="95" spans="1:21" s="145" customFormat="1" x14ac:dyDescent="0.3">
      <c r="A95" s="144"/>
      <c r="B95" s="153"/>
      <c r="G95" s="131"/>
      <c r="H95" s="146"/>
      <c r="K95" s="148"/>
      <c r="L95" s="148"/>
      <c r="N95" s="149"/>
      <c r="O95" s="150"/>
      <c r="P95" s="150"/>
      <c r="Q95" s="151"/>
      <c r="R95" s="176"/>
      <c r="S95" s="147"/>
    </row>
    <row r="96" spans="1:21" s="145" customFormat="1" x14ac:dyDescent="0.3">
      <c r="A96" s="144"/>
      <c r="B96" s="153"/>
      <c r="G96" s="131"/>
      <c r="H96" s="146"/>
      <c r="K96" s="148"/>
      <c r="L96" s="148"/>
      <c r="N96" s="149"/>
      <c r="O96" s="150"/>
      <c r="P96" s="150"/>
      <c r="Q96" s="151"/>
      <c r="R96" s="176"/>
      <c r="S96" s="147"/>
    </row>
    <row r="97" spans="1:19" s="145" customFormat="1" x14ac:dyDescent="0.3">
      <c r="A97" s="144"/>
      <c r="B97" s="153"/>
      <c r="G97" s="131"/>
      <c r="H97" s="146"/>
      <c r="K97" s="148"/>
      <c r="L97" s="148"/>
      <c r="N97" s="149"/>
      <c r="O97" s="150"/>
      <c r="P97" s="150"/>
      <c r="Q97" s="151"/>
      <c r="R97" s="176"/>
      <c r="S97" s="147"/>
    </row>
    <row r="98" spans="1:19" s="145" customFormat="1" x14ac:dyDescent="0.3">
      <c r="A98" s="144"/>
      <c r="B98" s="153"/>
      <c r="G98" s="131"/>
      <c r="H98" s="146"/>
      <c r="K98" s="148"/>
      <c r="L98" s="148"/>
      <c r="N98" s="149"/>
      <c r="O98" s="150"/>
      <c r="P98" s="150"/>
      <c r="Q98" s="151"/>
      <c r="R98" s="176"/>
      <c r="S98" s="147"/>
    </row>
    <row r="99" spans="1:19" s="145" customFormat="1" x14ac:dyDescent="0.3">
      <c r="A99" s="144"/>
      <c r="B99" s="153"/>
      <c r="G99" s="131"/>
      <c r="H99" s="146"/>
      <c r="K99" s="148"/>
      <c r="L99" s="148"/>
      <c r="N99" s="149"/>
      <c r="O99" s="150"/>
      <c r="P99" s="150"/>
      <c r="Q99" s="151"/>
      <c r="R99" s="176"/>
      <c r="S99" s="147"/>
    </row>
    <row r="100" spans="1:19" s="145" customFormat="1" x14ac:dyDescent="0.3">
      <c r="A100" s="144"/>
      <c r="B100" s="153"/>
      <c r="G100" s="131"/>
      <c r="H100" s="146"/>
      <c r="K100" s="148"/>
      <c r="L100" s="148"/>
      <c r="N100" s="149"/>
      <c r="O100" s="150"/>
      <c r="P100" s="150"/>
      <c r="Q100" s="151"/>
      <c r="R100" s="176"/>
      <c r="S100" s="147"/>
    </row>
    <row r="101" spans="1:19" s="145" customFormat="1" x14ac:dyDescent="0.3">
      <c r="A101" s="144"/>
      <c r="B101" s="153"/>
      <c r="G101" s="131"/>
      <c r="H101" s="146"/>
      <c r="K101" s="148"/>
      <c r="L101" s="148"/>
      <c r="N101" s="149"/>
      <c r="O101" s="150"/>
      <c r="P101" s="150"/>
      <c r="Q101" s="151"/>
      <c r="R101" s="176"/>
      <c r="S101" s="147"/>
    </row>
    <row r="102" spans="1:19" s="145" customFormat="1" x14ac:dyDescent="0.3">
      <c r="A102" s="144"/>
      <c r="B102" s="153"/>
      <c r="G102" s="131"/>
      <c r="H102" s="146"/>
      <c r="K102" s="148"/>
      <c r="L102" s="148"/>
      <c r="N102" s="149"/>
      <c r="O102" s="150"/>
      <c r="P102" s="150"/>
      <c r="Q102" s="151"/>
      <c r="R102" s="176"/>
      <c r="S102" s="147"/>
    </row>
    <row r="103" spans="1:19" s="145" customFormat="1" x14ac:dyDescent="0.3">
      <c r="A103" s="144"/>
      <c r="B103" s="153"/>
      <c r="G103" s="131"/>
      <c r="H103" s="146"/>
      <c r="K103" s="148"/>
      <c r="L103" s="148"/>
      <c r="N103" s="149"/>
      <c r="O103" s="150"/>
      <c r="P103" s="150"/>
      <c r="Q103" s="151"/>
      <c r="R103" s="176"/>
      <c r="S103" s="147"/>
    </row>
    <row r="104" spans="1:19" s="145" customFormat="1" x14ac:dyDescent="0.3">
      <c r="A104" s="144"/>
      <c r="C104" s="55" t="s">
        <v>139</v>
      </c>
      <c r="D104" s="55"/>
      <c r="E104" s="130"/>
      <c r="F104" s="130"/>
      <c r="G104" s="131"/>
      <c r="H104" s="130">
        <f>COUNTIF(T86:T103,"*áno*")</f>
        <v>4</v>
      </c>
      <c r="K104" s="148"/>
      <c r="L104" s="148"/>
      <c r="N104" s="149"/>
      <c r="O104" s="150"/>
      <c r="P104" s="150"/>
      <c r="Q104" s="151"/>
      <c r="R104" s="176"/>
      <c r="S104" s="147"/>
    </row>
    <row r="105" spans="1:19" s="145" customFormat="1" x14ac:dyDescent="0.3">
      <c r="A105" s="144"/>
      <c r="C105" s="55" t="s">
        <v>140</v>
      </c>
      <c r="D105" s="55"/>
      <c r="E105" s="130"/>
      <c r="F105" s="130"/>
      <c r="G105" s="131"/>
      <c r="H105" s="130">
        <f>COUNTIF(E86:E103,"*w*")</f>
        <v>4</v>
      </c>
      <c r="K105" s="148"/>
      <c r="L105" s="148"/>
      <c r="N105" s="149"/>
      <c r="O105" s="150"/>
      <c r="P105" s="150"/>
      <c r="Q105" s="151"/>
      <c r="R105" s="176"/>
      <c r="S105" s="147"/>
    </row>
    <row r="106" spans="1:19" s="145" customFormat="1" x14ac:dyDescent="0.3">
      <c r="A106" s="144"/>
      <c r="C106" s="55" t="s">
        <v>141</v>
      </c>
      <c r="D106" s="55"/>
      <c r="E106" s="130"/>
      <c r="F106" s="130"/>
      <c r="G106" s="131"/>
      <c r="H106" s="130">
        <f>COUNTIF(E86:E103,"*P*")</f>
        <v>0</v>
      </c>
      <c r="K106" s="148"/>
      <c r="L106" s="148"/>
      <c r="N106" s="149"/>
      <c r="O106" s="150"/>
      <c r="P106" s="150"/>
      <c r="Q106" s="151"/>
      <c r="R106" s="176"/>
      <c r="S106" s="147"/>
    </row>
    <row r="107" spans="1:19" s="145" customFormat="1" x14ac:dyDescent="0.3">
      <c r="A107" s="144"/>
      <c r="C107" s="55" t="s">
        <v>142</v>
      </c>
      <c r="D107" s="55"/>
      <c r="E107" s="130"/>
      <c r="F107" s="130"/>
      <c r="G107" s="131"/>
      <c r="H107" s="130">
        <f>COUNTIF(E86:E103,"*L*")</f>
        <v>1</v>
      </c>
      <c r="K107" s="148"/>
      <c r="L107" s="148"/>
      <c r="N107" s="149"/>
      <c r="O107" s="150"/>
      <c r="P107" s="150"/>
      <c r="Q107" s="151"/>
      <c r="R107" s="176"/>
      <c r="S107" s="147"/>
    </row>
    <row r="108" spans="1:19" s="145" customFormat="1" x14ac:dyDescent="0.3">
      <c r="A108" s="144"/>
      <c r="C108" s="55" t="s">
        <v>143</v>
      </c>
      <c r="D108" s="55"/>
      <c r="E108" s="130"/>
      <c r="F108" s="130"/>
      <c r="G108" s="131"/>
      <c r="H108" s="130">
        <f>COUNTIF(E86:E103,"*V*")</f>
        <v>3</v>
      </c>
      <c r="K108" s="148"/>
      <c r="L108" s="148"/>
      <c r="N108" s="149"/>
      <c r="O108" s="150"/>
      <c r="P108" s="150"/>
      <c r="Q108" s="151"/>
      <c r="R108" s="176"/>
      <c r="S108" s="147"/>
    </row>
    <row r="109" spans="1:19" s="145" customFormat="1" x14ac:dyDescent="0.3">
      <c r="A109" s="144"/>
      <c r="C109" s="55"/>
      <c r="D109" s="55"/>
      <c r="E109" s="130"/>
      <c r="F109" s="130"/>
      <c r="G109" s="131"/>
      <c r="H109" s="130"/>
      <c r="K109" s="148"/>
      <c r="L109" s="148"/>
      <c r="N109" s="149"/>
      <c r="O109" s="150"/>
      <c r="P109" s="150"/>
      <c r="Q109" s="151"/>
      <c r="R109" s="176"/>
      <c r="S109" s="147"/>
    </row>
    <row r="110" spans="1:19" s="145" customFormat="1" x14ac:dyDescent="0.3">
      <c r="A110" s="144"/>
      <c r="C110" s="55" t="s">
        <v>144</v>
      </c>
      <c r="D110" s="55"/>
      <c r="E110" s="130"/>
      <c r="F110" s="130"/>
      <c r="G110" s="131"/>
      <c r="H110" s="130">
        <f>COUNTIF(E86:E103,"*D*")</f>
        <v>2</v>
      </c>
      <c r="K110" s="148"/>
      <c r="L110" s="148"/>
      <c r="N110" s="149"/>
      <c r="O110" s="150"/>
      <c r="P110" s="150"/>
      <c r="Q110" s="151"/>
      <c r="R110" s="176"/>
      <c r="S110" s="147"/>
    </row>
    <row r="111" spans="1:19" s="145" customFormat="1" x14ac:dyDescent="0.3">
      <c r="A111" s="144"/>
      <c r="C111" s="55" t="s">
        <v>145</v>
      </c>
      <c r="D111" s="55"/>
      <c r="E111" s="130"/>
      <c r="F111" s="130"/>
      <c r="G111" s="131"/>
      <c r="H111" s="130">
        <f>COUNTIF(E86:E103,"*S*")</f>
        <v>0</v>
      </c>
      <c r="K111" s="148"/>
      <c r="L111" s="148"/>
      <c r="N111" s="149"/>
      <c r="O111" s="150"/>
      <c r="P111" s="150"/>
      <c r="Q111" s="151"/>
      <c r="R111" s="176"/>
      <c r="S111" s="147"/>
    </row>
    <row r="112" spans="1:19" s="145" customFormat="1" x14ac:dyDescent="0.3">
      <c r="A112" s="144"/>
      <c r="C112" s="55" t="s">
        <v>146</v>
      </c>
      <c r="D112" s="55"/>
      <c r="E112" s="130"/>
      <c r="F112" s="130"/>
      <c r="G112" s="131"/>
      <c r="H112" s="130">
        <f>COUNTIF(E86:E103,"*K*")</f>
        <v>0</v>
      </c>
      <c r="K112" s="148"/>
      <c r="L112" s="148"/>
      <c r="N112" s="149"/>
      <c r="O112" s="150"/>
      <c r="P112" s="150"/>
      <c r="Q112" s="151"/>
      <c r="R112" s="176"/>
      <c r="S112" s="147"/>
    </row>
    <row r="113" spans="1:21" s="145" customFormat="1" ht="15" thickBot="1" x14ac:dyDescent="0.35">
      <c r="A113" s="144"/>
      <c r="C113" s="156" t="s">
        <v>147</v>
      </c>
      <c r="D113" s="156"/>
      <c r="G113" s="146"/>
      <c r="H113" s="145">
        <f>COUNTIF(E86:E103,"*Z*")</f>
        <v>1</v>
      </c>
      <c r="K113" s="148"/>
      <c r="L113" s="148"/>
      <c r="N113" s="149"/>
      <c r="O113" s="150"/>
      <c r="P113" s="150"/>
      <c r="Q113" s="151"/>
      <c r="R113" s="176"/>
      <c r="S113" s="147"/>
    </row>
    <row r="114" spans="1:21" s="87" customFormat="1" ht="15" thickBot="1" x14ac:dyDescent="0.35">
      <c r="A114" s="160" t="s">
        <v>111</v>
      </c>
      <c r="G114" s="161"/>
      <c r="H114" s="161"/>
      <c r="K114" s="163"/>
      <c r="L114" s="163"/>
      <c r="N114" s="164"/>
      <c r="O114" s="165"/>
      <c r="P114" s="165"/>
      <c r="Q114" s="166"/>
      <c r="R114" s="177"/>
      <c r="S114" s="162"/>
    </row>
    <row r="115" spans="1:21" s="385" customFormat="1" ht="72" x14ac:dyDescent="0.3">
      <c r="A115" s="383">
        <v>44747</v>
      </c>
      <c r="B115" s="384" t="s">
        <v>352</v>
      </c>
      <c r="C115" s="385" t="s">
        <v>301</v>
      </c>
      <c r="D115" s="385" t="s">
        <v>360</v>
      </c>
      <c r="E115" s="385" t="s">
        <v>350</v>
      </c>
      <c r="F115" s="385" t="s">
        <v>324</v>
      </c>
      <c r="G115" s="386">
        <v>65</v>
      </c>
      <c r="H115" s="387">
        <v>41</v>
      </c>
      <c r="I115" s="385" t="s">
        <v>325</v>
      </c>
      <c r="J115" s="385" t="s">
        <v>211</v>
      </c>
      <c r="K115" s="388">
        <v>5.0999999999999996</v>
      </c>
      <c r="L115" s="388">
        <v>2.2999999999999998</v>
      </c>
      <c r="M115" s="385" t="s">
        <v>215</v>
      </c>
      <c r="N115" s="389">
        <v>6</v>
      </c>
      <c r="O115" s="390">
        <v>0.4</v>
      </c>
      <c r="P115" s="390">
        <v>0</v>
      </c>
      <c r="Q115" s="391">
        <v>0</v>
      </c>
      <c r="R115" s="392">
        <v>21</v>
      </c>
      <c r="S115" s="393">
        <v>3.4</v>
      </c>
      <c r="T115" s="385" t="s">
        <v>290</v>
      </c>
      <c r="U115" s="385" t="s">
        <v>351</v>
      </c>
    </row>
    <row r="116" spans="1:21" s="145" customFormat="1" ht="143.4" customHeight="1" x14ac:dyDescent="0.3">
      <c r="A116" s="144">
        <v>44747</v>
      </c>
      <c r="B116" s="153" t="s">
        <v>353</v>
      </c>
      <c r="C116" s="145" t="s">
        <v>301</v>
      </c>
      <c r="D116" s="145" t="s">
        <v>360</v>
      </c>
      <c r="E116" s="145" t="s">
        <v>354</v>
      </c>
      <c r="F116" s="145" t="s">
        <v>324</v>
      </c>
      <c r="G116" s="131">
        <v>66</v>
      </c>
      <c r="H116" s="146">
        <v>55</v>
      </c>
      <c r="I116" s="145" t="s">
        <v>325</v>
      </c>
      <c r="J116" s="145" t="s">
        <v>295</v>
      </c>
      <c r="K116" s="148">
        <v>8.1999999999999993</v>
      </c>
      <c r="L116" s="148">
        <v>2</v>
      </c>
      <c r="M116" s="145" t="s">
        <v>215</v>
      </c>
      <c r="N116" s="149">
        <v>120</v>
      </c>
      <c r="O116" s="150">
        <v>18.899999999999999</v>
      </c>
      <c r="P116" s="150">
        <v>0</v>
      </c>
      <c r="Q116" s="151">
        <v>0</v>
      </c>
      <c r="R116" s="176">
        <v>1399</v>
      </c>
      <c r="S116" s="147">
        <v>0.7</v>
      </c>
      <c r="T116" s="145" t="s">
        <v>290</v>
      </c>
      <c r="U116" s="145" t="s">
        <v>356</v>
      </c>
    </row>
    <row r="117" spans="1:21" s="145" customFormat="1" ht="28.8" x14ac:dyDescent="0.3">
      <c r="A117" s="144">
        <v>44752</v>
      </c>
      <c r="B117" s="153" t="s">
        <v>357</v>
      </c>
      <c r="C117" s="145" t="s">
        <v>337</v>
      </c>
      <c r="D117" s="145" t="s">
        <v>323</v>
      </c>
      <c r="E117" s="145" t="s">
        <v>322</v>
      </c>
      <c r="F117" s="145" t="s">
        <v>288</v>
      </c>
      <c r="G117" s="131">
        <v>62</v>
      </c>
      <c r="H117" s="146">
        <v>38</v>
      </c>
      <c r="I117" s="145" t="s">
        <v>317</v>
      </c>
      <c r="J117" s="145" t="s">
        <v>297</v>
      </c>
      <c r="K117" s="148">
        <v>6.5</v>
      </c>
      <c r="L117" s="148">
        <v>1.8</v>
      </c>
      <c r="M117" s="145" t="s">
        <v>253</v>
      </c>
      <c r="N117" s="149">
        <v>18</v>
      </c>
      <c r="O117" s="150">
        <v>1.4</v>
      </c>
      <c r="P117" s="150">
        <v>0</v>
      </c>
      <c r="Q117" s="151">
        <v>0</v>
      </c>
      <c r="R117" s="176">
        <v>13</v>
      </c>
      <c r="S117" s="147">
        <v>10</v>
      </c>
      <c r="T117" s="145" t="s">
        <v>290</v>
      </c>
    </row>
    <row r="118" spans="1:21" s="145" customFormat="1" x14ac:dyDescent="0.3">
      <c r="A118" s="144">
        <v>44752</v>
      </c>
      <c r="B118" s="153" t="s">
        <v>358</v>
      </c>
      <c r="C118" s="145" t="s">
        <v>337</v>
      </c>
      <c r="D118" s="145" t="s">
        <v>323</v>
      </c>
      <c r="E118" s="145" t="s">
        <v>361</v>
      </c>
      <c r="F118" s="145" t="s">
        <v>288</v>
      </c>
      <c r="G118" s="131">
        <v>51</v>
      </c>
      <c r="H118" s="146">
        <v>32</v>
      </c>
      <c r="I118" s="145" t="s">
        <v>317</v>
      </c>
      <c r="J118" s="145" t="s">
        <v>251</v>
      </c>
      <c r="K118" s="148">
        <v>8.1999999999999993</v>
      </c>
      <c r="L118" s="148">
        <v>2.2999999999999998</v>
      </c>
      <c r="M118" s="145" t="s">
        <v>253</v>
      </c>
      <c r="N118" s="149">
        <v>6</v>
      </c>
      <c r="O118" s="150">
        <v>0.8</v>
      </c>
      <c r="P118" s="150">
        <v>0</v>
      </c>
      <c r="Q118" s="151">
        <v>0</v>
      </c>
      <c r="R118" s="176">
        <v>26</v>
      </c>
      <c r="S118" s="147">
        <v>4</v>
      </c>
      <c r="T118" s="145" t="s">
        <v>290</v>
      </c>
    </row>
    <row r="119" spans="1:21" s="145" customFormat="1" ht="28.8" x14ac:dyDescent="0.3">
      <c r="A119" s="144">
        <v>44752</v>
      </c>
      <c r="B119" s="153" t="s">
        <v>359</v>
      </c>
      <c r="C119" s="145" t="s">
        <v>301</v>
      </c>
      <c r="D119" s="145" t="s">
        <v>360</v>
      </c>
      <c r="E119" s="145" t="s">
        <v>362</v>
      </c>
      <c r="F119" s="145" t="s">
        <v>288</v>
      </c>
      <c r="G119" s="131">
        <v>55</v>
      </c>
      <c r="H119" s="146">
        <v>46</v>
      </c>
      <c r="I119" s="145" t="s">
        <v>317</v>
      </c>
      <c r="J119" s="145" t="s">
        <v>297</v>
      </c>
      <c r="K119" s="148">
        <v>6.5</v>
      </c>
      <c r="L119" s="148">
        <v>2.7</v>
      </c>
      <c r="M119" s="145" t="s">
        <v>215</v>
      </c>
      <c r="N119" s="149">
        <v>36</v>
      </c>
      <c r="O119" s="150">
        <v>4.4000000000000004</v>
      </c>
      <c r="P119" s="150">
        <v>0</v>
      </c>
      <c r="Q119" s="151">
        <v>0</v>
      </c>
      <c r="R119" s="176">
        <v>1</v>
      </c>
      <c r="S119" s="147">
        <v>9.8000000000000007</v>
      </c>
      <c r="T119" s="145" t="s">
        <v>290</v>
      </c>
      <c r="U119" s="145" t="s">
        <v>363</v>
      </c>
    </row>
    <row r="120" spans="1:21" s="145" customFormat="1" ht="28.8" x14ac:dyDescent="0.3">
      <c r="A120" s="144">
        <v>44753</v>
      </c>
      <c r="B120" s="153" t="s">
        <v>365</v>
      </c>
      <c r="C120" s="145" t="s">
        <v>301</v>
      </c>
      <c r="D120" s="145" t="s">
        <v>360</v>
      </c>
      <c r="E120" s="145" t="s">
        <v>322</v>
      </c>
      <c r="F120" s="145" t="s">
        <v>288</v>
      </c>
      <c r="G120" s="131">
        <v>54</v>
      </c>
      <c r="H120" s="146">
        <v>40</v>
      </c>
      <c r="I120" s="145" t="s">
        <v>317</v>
      </c>
      <c r="J120" s="145" t="s">
        <v>297</v>
      </c>
      <c r="K120" s="148">
        <v>6.5</v>
      </c>
      <c r="L120" s="148">
        <v>2.1</v>
      </c>
      <c r="M120" s="145" t="s">
        <v>215</v>
      </c>
      <c r="N120" s="149">
        <v>6</v>
      </c>
      <c r="O120" s="150">
        <v>0.4</v>
      </c>
      <c r="P120" s="150">
        <v>0</v>
      </c>
      <c r="Q120" s="151">
        <v>0</v>
      </c>
      <c r="R120" s="176">
        <v>1</v>
      </c>
      <c r="S120" s="147">
        <v>8</v>
      </c>
      <c r="T120" s="145" t="s">
        <v>290</v>
      </c>
    </row>
    <row r="121" spans="1:21" s="145" customFormat="1" ht="28.8" x14ac:dyDescent="0.3">
      <c r="A121" s="144">
        <v>44753</v>
      </c>
      <c r="B121" s="153" t="s">
        <v>366</v>
      </c>
      <c r="C121" s="145" t="s">
        <v>301</v>
      </c>
      <c r="D121" s="145" t="s">
        <v>360</v>
      </c>
      <c r="E121" s="145" t="s">
        <v>367</v>
      </c>
      <c r="F121" s="145" t="s">
        <v>288</v>
      </c>
      <c r="G121" s="131">
        <v>56</v>
      </c>
      <c r="H121" s="146">
        <v>0</v>
      </c>
      <c r="I121" s="145" t="s">
        <v>317</v>
      </c>
      <c r="J121" s="145" t="s">
        <v>297</v>
      </c>
      <c r="K121" s="148">
        <v>3.7</v>
      </c>
      <c r="L121" s="148">
        <v>1.7</v>
      </c>
      <c r="M121" s="145" t="s">
        <v>214</v>
      </c>
      <c r="N121" s="149">
        <v>0</v>
      </c>
      <c r="O121" s="150">
        <v>0</v>
      </c>
      <c r="P121" s="150">
        <v>0</v>
      </c>
      <c r="Q121" s="151">
        <v>0</v>
      </c>
      <c r="R121" s="176">
        <v>5</v>
      </c>
      <c r="S121" s="147">
        <v>7.5</v>
      </c>
      <c r="T121" s="145" t="s">
        <v>290</v>
      </c>
    </row>
    <row r="122" spans="1:21" s="145" customFormat="1" ht="28.8" x14ac:dyDescent="0.3">
      <c r="A122" s="144">
        <v>44754</v>
      </c>
      <c r="B122" s="153" t="s">
        <v>368</v>
      </c>
      <c r="C122" s="145" t="s">
        <v>301</v>
      </c>
      <c r="D122" s="145" t="s">
        <v>360</v>
      </c>
      <c r="E122" s="145" t="s">
        <v>309</v>
      </c>
      <c r="F122" s="145" t="s">
        <v>288</v>
      </c>
      <c r="G122" s="131">
        <v>62</v>
      </c>
      <c r="H122" s="146">
        <v>15</v>
      </c>
      <c r="I122" s="145" t="s">
        <v>317</v>
      </c>
      <c r="J122" s="145" t="s">
        <v>297</v>
      </c>
      <c r="K122" s="148">
        <v>6.5</v>
      </c>
      <c r="L122" s="148">
        <v>2.7</v>
      </c>
      <c r="M122" s="145" t="s">
        <v>253</v>
      </c>
      <c r="N122" s="149">
        <v>0</v>
      </c>
      <c r="O122" s="150">
        <v>0</v>
      </c>
      <c r="P122" s="150">
        <v>0</v>
      </c>
      <c r="Q122" s="151">
        <v>0</v>
      </c>
      <c r="R122" s="176">
        <v>3</v>
      </c>
      <c r="S122" s="147">
        <v>15</v>
      </c>
      <c r="T122" s="145" t="s">
        <v>290</v>
      </c>
      <c r="U122" s="145" t="s">
        <v>369</v>
      </c>
    </row>
    <row r="123" spans="1:21" s="145" customFormat="1" ht="72" x14ac:dyDescent="0.3">
      <c r="A123" s="144">
        <v>44764</v>
      </c>
      <c r="B123" s="153" t="s">
        <v>371</v>
      </c>
      <c r="C123" s="145" t="s">
        <v>310</v>
      </c>
      <c r="D123" s="145" t="s">
        <v>308</v>
      </c>
      <c r="E123" s="145" t="s">
        <v>350</v>
      </c>
      <c r="F123" s="145" t="s">
        <v>324</v>
      </c>
      <c r="G123" s="131">
        <v>61</v>
      </c>
      <c r="H123" s="146">
        <v>41</v>
      </c>
      <c r="I123" s="145" t="s">
        <v>372</v>
      </c>
      <c r="J123" s="145" t="s">
        <v>297</v>
      </c>
      <c r="K123" s="148">
        <v>6.1</v>
      </c>
      <c r="L123" s="148">
        <v>2.4</v>
      </c>
      <c r="M123" s="145" t="s">
        <v>215</v>
      </c>
      <c r="N123" s="149">
        <v>6</v>
      </c>
      <c r="O123" s="150">
        <v>0.4</v>
      </c>
      <c r="P123" s="150">
        <v>0</v>
      </c>
      <c r="Q123" s="151">
        <v>0</v>
      </c>
      <c r="R123" s="176">
        <v>206</v>
      </c>
      <c r="S123" s="147">
        <v>3.4</v>
      </c>
      <c r="T123" s="145" t="s">
        <v>290</v>
      </c>
      <c r="U123" s="145" t="s">
        <v>373</v>
      </c>
    </row>
    <row r="124" spans="1:21" s="145" customFormat="1" ht="28.8" x14ac:dyDescent="0.3">
      <c r="A124" s="144">
        <v>44765</v>
      </c>
      <c r="B124" s="153" t="s">
        <v>375</v>
      </c>
      <c r="C124" s="145" t="s">
        <v>337</v>
      </c>
      <c r="D124" s="145" t="s">
        <v>323</v>
      </c>
      <c r="E124" s="145" t="s">
        <v>291</v>
      </c>
      <c r="F124" s="145" t="s">
        <v>324</v>
      </c>
      <c r="G124" s="131">
        <v>61</v>
      </c>
      <c r="H124" s="146">
        <v>50</v>
      </c>
      <c r="I124" s="145" t="s">
        <v>339</v>
      </c>
      <c r="J124" s="145" t="s">
        <v>295</v>
      </c>
      <c r="K124" s="148">
        <v>10.9</v>
      </c>
      <c r="L124" s="148">
        <v>2.2000000000000002</v>
      </c>
      <c r="M124" s="145" t="s">
        <v>215</v>
      </c>
      <c r="N124" s="149">
        <v>42</v>
      </c>
      <c r="O124" s="150">
        <v>10.8</v>
      </c>
      <c r="P124" s="150">
        <v>0</v>
      </c>
      <c r="Q124" s="151">
        <v>0</v>
      </c>
      <c r="R124" s="176">
        <v>452</v>
      </c>
      <c r="S124" s="147">
        <v>1.7</v>
      </c>
      <c r="T124" s="145" t="s">
        <v>290</v>
      </c>
    </row>
    <row r="125" spans="1:21" s="145" customFormat="1" ht="57.6" x14ac:dyDescent="0.3">
      <c r="A125" s="144">
        <v>44768</v>
      </c>
      <c r="B125" s="153" t="s">
        <v>380</v>
      </c>
      <c r="C125" s="145" t="s">
        <v>337</v>
      </c>
      <c r="D125" s="145" t="s">
        <v>323</v>
      </c>
      <c r="E125" s="145" t="s">
        <v>322</v>
      </c>
      <c r="F125" s="145" t="s">
        <v>324</v>
      </c>
      <c r="G125" s="131">
        <v>60</v>
      </c>
      <c r="H125" s="146">
        <v>42</v>
      </c>
      <c r="I125" s="145" t="s">
        <v>339</v>
      </c>
      <c r="J125" s="145" t="s">
        <v>215</v>
      </c>
      <c r="K125" s="148">
        <v>9.1999999999999993</v>
      </c>
      <c r="L125" s="148">
        <v>2.5</v>
      </c>
      <c r="M125" s="145" t="s">
        <v>253</v>
      </c>
      <c r="N125" s="149">
        <v>12</v>
      </c>
      <c r="O125" s="150">
        <v>0.8</v>
      </c>
      <c r="P125" s="150">
        <v>0</v>
      </c>
      <c r="Q125" s="151">
        <v>0</v>
      </c>
      <c r="R125" s="176">
        <v>3</v>
      </c>
      <c r="S125" s="147">
        <v>13.7</v>
      </c>
      <c r="T125" s="145" t="s">
        <v>290</v>
      </c>
      <c r="U125" s="145" t="s">
        <v>377</v>
      </c>
    </row>
    <row r="126" spans="1:21" s="145" customFormat="1" x14ac:dyDescent="0.3">
      <c r="A126" s="144">
        <v>44768</v>
      </c>
      <c r="B126" s="153" t="s">
        <v>378</v>
      </c>
      <c r="C126" s="145" t="s">
        <v>337</v>
      </c>
      <c r="D126" s="145" t="s">
        <v>323</v>
      </c>
      <c r="E126" s="145" t="s">
        <v>361</v>
      </c>
      <c r="F126" s="145" t="s">
        <v>324</v>
      </c>
      <c r="G126" s="131">
        <v>59</v>
      </c>
      <c r="H126" s="146">
        <v>54</v>
      </c>
      <c r="I126" s="145" t="s">
        <v>379</v>
      </c>
      <c r="J126" s="145" t="s">
        <v>330</v>
      </c>
      <c r="K126" s="148">
        <v>2.4</v>
      </c>
      <c r="L126" s="148">
        <v>0.8</v>
      </c>
      <c r="M126" s="145" t="s">
        <v>330</v>
      </c>
      <c r="N126" s="149">
        <v>108</v>
      </c>
      <c r="O126" s="150">
        <v>6.5</v>
      </c>
      <c r="P126" s="150">
        <v>0</v>
      </c>
      <c r="Q126" s="151">
        <v>0</v>
      </c>
      <c r="R126" s="176">
        <v>1</v>
      </c>
      <c r="S126" s="147">
        <v>4.5999999999999996</v>
      </c>
      <c r="T126" s="145" t="s">
        <v>290</v>
      </c>
    </row>
    <row r="127" spans="1:21" s="145" customFormat="1" ht="57.6" x14ac:dyDescent="0.3">
      <c r="A127" s="144">
        <v>44771</v>
      </c>
      <c r="B127" s="153" t="s">
        <v>384</v>
      </c>
      <c r="C127" s="145" t="s">
        <v>314</v>
      </c>
      <c r="D127" s="145" t="s">
        <v>360</v>
      </c>
      <c r="E127" s="145" t="s">
        <v>291</v>
      </c>
      <c r="F127" s="145" t="s">
        <v>324</v>
      </c>
      <c r="G127" s="131">
        <v>63</v>
      </c>
      <c r="H127" s="146">
        <v>62</v>
      </c>
      <c r="I127" s="145" t="s">
        <v>379</v>
      </c>
      <c r="J127" s="145" t="s">
        <v>295</v>
      </c>
      <c r="K127" s="148">
        <v>7.1</v>
      </c>
      <c r="L127" s="148">
        <v>2</v>
      </c>
      <c r="M127" s="145" t="s">
        <v>213</v>
      </c>
      <c r="N127" s="149">
        <v>150</v>
      </c>
      <c r="O127" s="150">
        <v>18.8</v>
      </c>
      <c r="P127" s="150">
        <v>0</v>
      </c>
      <c r="Q127" s="151">
        <v>0</v>
      </c>
      <c r="R127" s="176">
        <v>519</v>
      </c>
      <c r="S127" s="147">
        <v>0.1</v>
      </c>
      <c r="T127" s="145" t="s">
        <v>290</v>
      </c>
      <c r="U127" s="145" t="s">
        <v>382</v>
      </c>
    </row>
    <row r="128" spans="1:21" s="145" customFormat="1" ht="187.2" x14ac:dyDescent="0.3">
      <c r="A128" s="144">
        <v>44772</v>
      </c>
      <c r="B128" s="153" t="s">
        <v>386</v>
      </c>
      <c r="C128" s="145" t="s">
        <v>314</v>
      </c>
      <c r="D128" s="145" t="s">
        <v>360</v>
      </c>
      <c r="E128" s="145" t="s">
        <v>350</v>
      </c>
      <c r="F128" s="145" t="s">
        <v>385</v>
      </c>
      <c r="G128" s="131">
        <v>70</v>
      </c>
      <c r="H128" s="146">
        <v>28</v>
      </c>
      <c r="I128" s="145" t="s">
        <v>379</v>
      </c>
      <c r="J128" s="145" t="s">
        <v>213</v>
      </c>
      <c r="K128" s="148">
        <v>2.7</v>
      </c>
      <c r="L128" s="148">
        <v>0.8</v>
      </c>
      <c r="M128" s="145" t="s">
        <v>211</v>
      </c>
      <c r="N128" s="149">
        <v>0.6</v>
      </c>
      <c r="O128" s="150">
        <v>0.2</v>
      </c>
      <c r="P128" s="150">
        <v>0</v>
      </c>
      <c r="Q128" s="151">
        <v>0</v>
      </c>
      <c r="R128" s="176">
        <v>14</v>
      </c>
      <c r="S128" s="147">
        <v>4.7</v>
      </c>
      <c r="T128" s="145" t="s">
        <v>290</v>
      </c>
      <c r="U128" s="145" t="s">
        <v>387</v>
      </c>
    </row>
    <row r="129" spans="1:20" s="145" customFormat="1" ht="28.8" x14ac:dyDescent="0.3">
      <c r="A129" s="144">
        <v>44772</v>
      </c>
      <c r="B129" s="153" t="s">
        <v>389</v>
      </c>
      <c r="C129" s="145" t="s">
        <v>314</v>
      </c>
      <c r="D129" s="145" t="s">
        <v>360</v>
      </c>
      <c r="E129" s="145" t="s">
        <v>354</v>
      </c>
      <c r="F129" s="145" t="s">
        <v>324</v>
      </c>
      <c r="G129" s="131">
        <v>65</v>
      </c>
      <c r="H129" s="146">
        <v>45</v>
      </c>
      <c r="I129" s="145" t="s">
        <v>390</v>
      </c>
      <c r="J129" s="145" t="s">
        <v>211</v>
      </c>
      <c r="K129" s="148">
        <v>6.8</v>
      </c>
      <c r="L129" s="148">
        <v>1.8</v>
      </c>
      <c r="M129" s="145" t="s">
        <v>211</v>
      </c>
      <c r="N129" s="149">
        <v>6</v>
      </c>
      <c r="O129" s="150">
        <v>0.8</v>
      </c>
      <c r="P129" s="150">
        <v>0</v>
      </c>
      <c r="Q129" s="151">
        <v>0</v>
      </c>
      <c r="R129" s="176">
        <v>31</v>
      </c>
      <c r="S129" s="147">
        <v>1.7</v>
      </c>
      <c r="T129" s="145" t="s">
        <v>290</v>
      </c>
    </row>
    <row r="130" spans="1:20" s="145" customFormat="1" x14ac:dyDescent="0.3">
      <c r="A130" s="144"/>
      <c r="B130" s="153"/>
      <c r="G130" s="131"/>
      <c r="H130" s="146"/>
      <c r="K130" s="148"/>
      <c r="L130" s="148"/>
      <c r="N130" s="149"/>
      <c r="O130" s="150"/>
      <c r="P130" s="150"/>
      <c r="Q130" s="151"/>
      <c r="R130" s="176"/>
      <c r="S130" s="147"/>
    </row>
    <row r="131" spans="1:20" s="145" customFormat="1" x14ac:dyDescent="0.3">
      <c r="A131" s="144"/>
      <c r="B131" s="153"/>
      <c r="G131" s="131"/>
      <c r="H131" s="146"/>
      <c r="K131" s="148"/>
      <c r="L131" s="148"/>
      <c r="N131" s="149"/>
      <c r="O131" s="150"/>
      <c r="P131" s="150"/>
      <c r="Q131" s="151"/>
      <c r="R131" s="176"/>
      <c r="S131" s="147"/>
    </row>
    <row r="132" spans="1:20" s="145" customFormat="1" x14ac:dyDescent="0.3">
      <c r="A132" s="144"/>
      <c r="B132" s="153"/>
      <c r="G132" s="131"/>
      <c r="H132" s="146"/>
      <c r="K132" s="148"/>
      <c r="L132" s="148"/>
      <c r="N132" s="149"/>
      <c r="O132" s="150"/>
      <c r="P132" s="150"/>
      <c r="Q132" s="151"/>
      <c r="R132" s="176"/>
      <c r="S132" s="147"/>
    </row>
    <row r="133" spans="1:20" s="145" customFormat="1" x14ac:dyDescent="0.3">
      <c r="A133" s="144"/>
      <c r="B133" s="153"/>
      <c r="G133" s="131"/>
      <c r="H133" s="146"/>
      <c r="K133" s="148"/>
      <c r="L133" s="148"/>
      <c r="N133" s="149"/>
      <c r="O133" s="150"/>
      <c r="P133" s="150"/>
      <c r="Q133" s="151"/>
      <c r="R133" s="176"/>
      <c r="S133" s="147"/>
    </row>
    <row r="134" spans="1:20" s="145" customFormat="1" x14ac:dyDescent="0.3">
      <c r="A134" s="144"/>
      <c r="B134" s="153"/>
      <c r="G134" s="131"/>
      <c r="H134" s="146"/>
      <c r="K134" s="148"/>
      <c r="L134" s="148"/>
      <c r="N134" s="149"/>
      <c r="O134" s="150"/>
      <c r="P134" s="150"/>
      <c r="Q134" s="151"/>
      <c r="R134" s="176"/>
      <c r="S134" s="147"/>
    </row>
    <row r="135" spans="1:20" s="145" customFormat="1" x14ac:dyDescent="0.3">
      <c r="A135" s="144"/>
      <c r="B135" s="153"/>
      <c r="G135" s="131"/>
      <c r="H135" s="146"/>
      <c r="K135" s="148"/>
      <c r="L135" s="148"/>
      <c r="N135" s="149"/>
      <c r="O135" s="150"/>
      <c r="P135" s="150"/>
      <c r="Q135" s="151"/>
      <c r="R135" s="176"/>
      <c r="S135" s="147"/>
    </row>
    <row r="136" spans="1:20" s="145" customFormat="1" x14ac:dyDescent="0.3">
      <c r="A136" s="144"/>
      <c r="B136" s="153"/>
      <c r="G136" s="131"/>
      <c r="H136" s="146"/>
      <c r="K136" s="148"/>
      <c r="L136" s="148"/>
      <c r="N136" s="149"/>
      <c r="O136" s="150"/>
      <c r="P136" s="150"/>
      <c r="Q136" s="151"/>
      <c r="R136" s="176"/>
      <c r="S136" s="147"/>
    </row>
    <row r="137" spans="1:20" s="145" customFormat="1" x14ac:dyDescent="0.3">
      <c r="A137" s="144"/>
      <c r="B137" s="153"/>
      <c r="G137" s="131"/>
      <c r="H137" s="146"/>
      <c r="K137" s="148"/>
      <c r="L137" s="148"/>
      <c r="N137" s="149"/>
      <c r="O137" s="150"/>
      <c r="P137" s="150"/>
      <c r="Q137" s="151"/>
      <c r="R137" s="176"/>
      <c r="S137" s="147"/>
    </row>
    <row r="138" spans="1:20" s="145" customFormat="1" x14ac:dyDescent="0.3">
      <c r="A138" s="144"/>
      <c r="C138" s="55" t="s">
        <v>139</v>
      </c>
      <c r="D138" s="55"/>
      <c r="E138" s="130"/>
      <c r="F138" s="130"/>
      <c r="G138" s="131"/>
      <c r="H138" s="130">
        <f>COUNTIF(T115:T136,"*áno*")</f>
        <v>15</v>
      </c>
      <c r="K138" s="148"/>
      <c r="L138" s="148"/>
      <c r="N138" s="149"/>
      <c r="O138" s="150"/>
      <c r="P138" s="150"/>
      <c r="Q138" s="151"/>
      <c r="R138" s="176"/>
      <c r="S138" s="147"/>
    </row>
    <row r="139" spans="1:20" s="145" customFormat="1" x14ac:dyDescent="0.3">
      <c r="A139" s="144"/>
      <c r="C139" s="55" t="s">
        <v>140</v>
      </c>
      <c r="D139" s="55"/>
      <c r="E139" s="130"/>
      <c r="F139" s="130"/>
      <c r="G139" s="131"/>
      <c r="H139" s="130">
        <f>COUNTIF(E115:E136,"*w*")</f>
        <v>9</v>
      </c>
      <c r="K139" s="148"/>
      <c r="L139" s="148"/>
      <c r="N139" s="149"/>
      <c r="O139" s="150"/>
      <c r="P139" s="150"/>
      <c r="Q139" s="151"/>
      <c r="R139" s="176"/>
      <c r="S139" s="147"/>
    </row>
    <row r="140" spans="1:20" s="145" customFormat="1" x14ac:dyDescent="0.3">
      <c r="A140" s="144"/>
      <c r="C140" s="55" t="s">
        <v>141</v>
      </c>
      <c r="D140" s="55"/>
      <c r="E140" s="130"/>
      <c r="F140" s="130"/>
      <c r="G140" s="131"/>
      <c r="H140" s="130">
        <f>COUNTIF(E115:E136,"*P*")</f>
        <v>4</v>
      </c>
      <c r="K140" s="148"/>
      <c r="L140" s="148"/>
      <c r="N140" s="149"/>
      <c r="O140" s="150"/>
      <c r="P140" s="150"/>
      <c r="Q140" s="151"/>
      <c r="R140" s="176"/>
      <c r="S140" s="147"/>
    </row>
    <row r="141" spans="1:20" s="145" customFormat="1" x14ac:dyDescent="0.3">
      <c r="A141" s="144"/>
      <c r="C141" s="55" t="s">
        <v>142</v>
      </c>
      <c r="D141" s="55"/>
      <c r="E141" s="130"/>
      <c r="F141" s="130"/>
      <c r="G141" s="131"/>
      <c r="H141" s="130">
        <f>COUNTIF(E115:E136,"*L*")</f>
        <v>5</v>
      </c>
      <c r="K141" s="148"/>
      <c r="L141" s="148"/>
      <c r="N141" s="149"/>
      <c r="O141" s="150"/>
      <c r="P141" s="150"/>
      <c r="Q141" s="151"/>
      <c r="R141" s="176"/>
      <c r="S141" s="147"/>
    </row>
    <row r="142" spans="1:20" s="145" customFormat="1" x14ac:dyDescent="0.3">
      <c r="A142" s="144"/>
      <c r="C142" s="55" t="s">
        <v>143</v>
      </c>
      <c r="D142" s="55"/>
      <c r="E142" s="130"/>
      <c r="F142" s="130"/>
      <c r="G142" s="131"/>
      <c r="H142" s="130">
        <f>COUNTIF(E115:E136,"*V*")</f>
        <v>6</v>
      </c>
      <c r="K142" s="148"/>
      <c r="L142" s="148"/>
      <c r="N142" s="149"/>
      <c r="O142" s="150"/>
      <c r="P142" s="150"/>
      <c r="Q142" s="151"/>
      <c r="R142" s="176"/>
      <c r="S142" s="147"/>
    </row>
    <row r="143" spans="1:20" s="145" customFormat="1" x14ac:dyDescent="0.3">
      <c r="A143" s="144"/>
      <c r="C143" s="55"/>
      <c r="D143" s="55"/>
      <c r="E143" s="130"/>
      <c r="F143" s="130"/>
      <c r="G143" s="131"/>
      <c r="H143" s="130"/>
      <c r="K143" s="148"/>
      <c r="L143" s="148"/>
      <c r="N143" s="149"/>
      <c r="O143" s="150"/>
      <c r="P143" s="150"/>
      <c r="Q143" s="151"/>
      <c r="R143" s="176"/>
      <c r="S143" s="147"/>
    </row>
    <row r="144" spans="1:20" s="145" customFormat="1" x14ac:dyDescent="0.3">
      <c r="A144" s="144"/>
      <c r="C144" s="55" t="s">
        <v>144</v>
      </c>
      <c r="D144" s="55"/>
      <c r="E144" s="130"/>
      <c r="F144" s="130"/>
      <c r="G144" s="131"/>
      <c r="H144" s="130">
        <f>COUNTIF(E115:E136,"*D*")</f>
        <v>13</v>
      </c>
      <c r="K144" s="148"/>
      <c r="L144" s="148"/>
      <c r="N144" s="149"/>
      <c r="O144" s="150"/>
      <c r="P144" s="150"/>
      <c r="Q144" s="151"/>
      <c r="R144" s="176"/>
      <c r="S144" s="147"/>
    </row>
    <row r="145" spans="1:21" s="145" customFormat="1" x14ac:dyDescent="0.3">
      <c r="A145" s="144"/>
      <c r="C145" s="55" t="s">
        <v>145</v>
      </c>
      <c r="D145" s="55"/>
      <c r="E145" s="130"/>
      <c r="F145" s="130"/>
      <c r="G145" s="131"/>
      <c r="H145" s="130">
        <f>COUNTIF(E115:E136,"*S*")</f>
        <v>0</v>
      </c>
      <c r="K145" s="148"/>
      <c r="L145" s="148"/>
      <c r="N145" s="149"/>
      <c r="O145" s="150"/>
      <c r="P145" s="150"/>
      <c r="Q145" s="151"/>
      <c r="R145" s="176"/>
      <c r="S145" s="147"/>
    </row>
    <row r="146" spans="1:21" s="145" customFormat="1" x14ac:dyDescent="0.3">
      <c r="A146" s="144"/>
      <c r="C146" s="55" t="s">
        <v>146</v>
      </c>
      <c r="D146" s="55"/>
      <c r="E146" s="130"/>
      <c r="F146" s="130"/>
      <c r="G146" s="131"/>
      <c r="H146" s="130">
        <f>COUNTIF(E115:E136,"*K*")</f>
        <v>0</v>
      </c>
      <c r="K146" s="148"/>
      <c r="L146" s="148"/>
      <c r="N146" s="149"/>
      <c r="O146" s="150"/>
      <c r="P146" s="150"/>
      <c r="Q146" s="151"/>
      <c r="R146" s="176"/>
      <c r="S146" s="147"/>
    </row>
    <row r="147" spans="1:21" s="145" customFormat="1" x14ac:dyDescent="0.3">
      <c r="A147" s="144"/>
      <c r="C147" s="55" t="s">
        <v>147</v>
      </c>
      <c r="D147" s="55"/>
      <c r="E147" s="130"/>
      <c r="F147" s="130"/>
      <c r="G147" s="131"/>
      <c r="H147" s="130">
        <f>COUNTIF(E115:E136,"*Z*")</f>
        <v>13</v>
      </c>
      <c r="K147" s="148"/>
      <c r="L147" s="148"/>
      <c r="N147" s="149"/>
      <c r="O147" s="150"/>
      <c r="P147" s="150"/>
      <c r="Q147" s="151"/>
      <c r="R147" s="176"/>
      <c r="S147" s="147"/>
    </row>
    <row r="148" spans="1:21" s="145" customFormat="1" x14ac:dyDescent="0.3">
      <c r="A148" s="152" t="s">
        <v>113</v>
      </c>
      <c r="G148" s="131"/>
      <c r="H148" s="146"/>
      <c r="K148" s="148"/>
      <c r="L148" s="148"/>
      <c r="N148" s="149"/>
      <c r="O148" s="150"/>
      <c r="P148" s="150"/>
      <c r="Q148" s="151"/>
      <c r="R148" s="176"/>
      <c r="S148" s="147"/>
    </row>
    <row r="149" spans="1:21" s="145" customFormat="1" ht="244.8" x14ac:dyDescent="0.3">
      <c r="A149" s="144">
        <v>44787</v>
      </c>
      <c r="B149" s="153" t="s">
        <v>396</v>
      </c>
      <c r="C149" s="145" t="s">
        <v>400</v>
      </c>
      <c r="D149" s="145" t="s">
        <v>296</v>
      </c>
      <c r="E149" s="145" t="s">
        <v>348</v>
      </c>
      <c r="F149" s="145" t="s">
        <v>288</v>
      </c>
      <c r="G149" s="131">
        <v>64</v>
      </c>
      <c r="H149" s="146">
        <v>0</v>
      </c>
      <c r="I149" s="145" t="s">
        <v>332</v>
      </c>
      <c r="J149" s="145" t="s">
        <v>253</v>
      </c>
      <c r="K149" s="148">
        <v>12.9</v>
      </c>
      <c r="L149" s="148">
        <v>4.4000000000000004</v>
      </c>
      <c r="M149" s="145" t="s">
        <v>213</v>
      </c>
      <c r="N149" s="149">
        <v>0</v>
      </c>
      <c r="O149" s="150">
        <v>0</v>
      </c>
      <c r="P149" s="150">
        <v>0</v>
      </c>
      <c r="Q149" s="151">
        <v>0</v>
      </c>
      <c r="R149" s="176">
        <v>45</v>
      </c>
      <c r="S149" s="147">
        <v>3.8</v>
      </c>
      <c r="T149" s="145" t="s">
        <v>290</v>
      </c>
      <c r="U149" s="145" t="s">
        <v>397</v>
      </c>
    </row>
    <row r="150" spans="1:21" s="145" customFormat="1" ht="28.8" x14ac:dyDescent="0.3">
      <c r="A150" s="144">
        <v>44788</v>
      </c>
      <c r="B150" s="153" t="s">
        <v>401</v>
      </c>
      <c r="C150" s="145" t="s">
        <v>400</v>
      </c>
      <c r="D150" s="145" t="s">
        <v>308</v>
      </c>
      <c r="E150" s="145" t="s">
        <v>309</v>
      </c>
      <c r="F150" s="145" t="s">
        <v>399</v>
      </c>
      <c r="G150" s="131">
        <v>57</v>
      </c>
      <c r="H150" s="146">
        <v>0</v>
      </c>
      <c r="I150" s="145" t="s">
        <v>398</v>
      </c>
      <c r="J150" s="145" t="s">
        <v>252</v>
      </c>
      <c r="K150" s="148">
        <v>3.4</v>
      </c>
      <c r="L150" s="148">
        <v>1.3</v>
      </c>
      <c r="M150" s="145" t="s">
        <v>211</v>
      </c>
      <c r="N150" s="149">
        <v>0</v>
      </c>
      <c r="O150" s="150">
        <v>0</v>
      </c>
      <c r="P150" s="150">
        <v>0</v>
      </c>
      <c r="Q150" s="151">
        <v>0</v>
      </c>
      <c r="R150" s="176">
        <v>12</v>
      </c>
      <c r="S150" s="147">
        <v>14.5</v>
      </c>
      <c r="T150" s="145" t="s">
        <v>290</v>
      </c>
      <c r="U150" s="145" t="s">
        <v>402</v>
      </c>
    </row>
    <row r="151" spans="1:21" s="145" customFormat="1" ht="158.4" x14ac:dyDescent="0.3">
      <c r="A151" s="144">
        <v>44789</v>
      </c>
      <c r="B151" s="153" t="s">
        <v>403</v>
      </c>
      <c r="C151" s="145" t="s">
        <v>400</v>
      </c>
      <c r="D151" s="145" t="s">
        <v>312</v>
      </c>
      <c r="E151" s="145" t="s">
        <v>407</v>
      </c>
      <c r="F151" s="145" t="s">
        <v>288</v>
      </c>
      <c r="G151" s="131">
        <v>64</v>
      </c>
      <c r="H151" s="146">
        <v>49</v>
      </c>
      <c r="I151" s="145" t="s">
        <v>329</v>
      </c>
      <c r="J151" s="145" t="s">
        <v>295</v>
      </c>
      <c r="K151" s="148">
        <v>9.9</v>
      </c>
      <c r="L151" s="148">
        <v>2.5</v>
      </c>
      <c r="M151" s="145" t="s">
        <v>215</v>
      </c>
      <c r="N151" s="149">
        <v>42</v>
      </c>
      <c r="O151" s="150">
        <v>3</v>
      </c>
      <c r="P151" s="150">
        <v>5</v>
      </c>
      <c r="Q151" s="151">
        <v>0</v>
      </c>
      <c r="R151" s="176">
        <v>78</v>
      </c>
      <c r="S151" s="147">
        <v>0.9</v>
      </c>
      <c r="T151" s="145" t="s">
        <v>290</v>
      </c>
      <c r="U151" s="145" t="s">
        <v>404</v>
      </c>
    </row>
    <row r="152" spans="1:21" s="145" customFormat="1" ht="57.6" x14ac:dyDescent="0.3">
      <c r="A152" s="144">
        <v>44793</v>
      </c>
      <c r="B152" s="153" t="s">
        <v>412</v>
      </c>
      <c r="C152" s="145" t="s">
        <v>411</v>
      </c>
      <c r="D152" s="145" t="s">
        <v>323</v>
      </c>
      <c r="E152" s="145" t="s">
        <v>298</v>
      </c>
      <c r="F152" s="145" t="s">
        <v>288</v>
      </c>
      <c r="G152" s="131">
        <v>66</v>
      </c>
      <c r="H152" s="146">
        <v>38</v>
      </c>
      <c r="I152" s="145" t="s">
        <v>398</v>
      </c>
      <c r="J152" s="145" t="s">
        <v>297</v>
      </c>
      <c r="K152" s="148">
        <v>4.4000000000000004</v>
      </c>
      <c r="L152" s="148">
        <v>1.6</v>
      </c>
      <c r="M152" s="145" t="s">
        <v>211</v>
      </c>
      <c r="N152" s="149">
        <v>0</v>
      </c>
      <c r="O152" s="150">
        <v>0</v>
      </c>
      <c r="P152" s="150">
        <v>0</v>
      </c>
      <c r="Q152" s="151">
        <v>0</v>
      </c>
      <c r="R152" s="176">
        <v>95</v>
      </c>
      <c r="S152" s="147">
        <v>3.5</v>
      </c>
      <c r="T152" s="145" t="s">
        <v>290</v>
      </c>
      <c r="U152" s="145" t="s">
        <v>413</v>
      </c>
    </row>
    <row r="153" spans="1:21" s="145" customFormat="1" ht="28.8" x14ac:dyDescent="0.3">
      <c r="A153" s="144">
        <v>44794</v>
      </c>
      <c r="B153" s="153" t="s">
        <v>366</v>
      </c>
      <c r="C153" s="145" t="s">
        <v>411</v>
      </c>
      <c r="D153" s="145" t="s">
        <v>323</v>
      </c>
      <c r="E153" s="145" t="s">
        <v>309</v>
      </c>
      <c r="F153" s="145" t="s">
        <v>399</v>
      </c>
      <c r="G153" s="131">
        <v>62</v>
      </c>
      <c r="H153" s="146">
        <v>0</v>
      </c>
      <c r="I153" s="145" t="s">
        <v>414</v>
      </c>
      <c r="J153" s="145" t="s">
        <v>330</v>
      </c>
      <c r="K153" s="148">
        <v>1.7</v>
      </c>
      <c r="L153" s="148">
        <v>0.4</v>
      </c>
      <c r="M153" s="145" t="s">
        <v>252</v>
      </c>
      <c r="N153" s="149">
        <v>0</v>
      </c>
      <c r="O153" s="150">
        <v>0</v>
      </c>
      <c r="P153" s="150">
        <v>0</v>
      </c>
      <c r="Q153" s="151">
        <v>0</v>
      </c>
      <c r="R153" s="176">
        <v>3</v>
      </c>
      <c r="S153" s="147">
        <v>7</v>
      </c>
      <c r="T153" s="145" t="s">
        <v>290</v>
      </c>
      <c r="U153" s="145" t="s">
        <v>415</v>
      </c>
    </row>
    <row r="154" spans="1:21" s="145" customFormat="1" ht="57.6" x14ac:dyDescent="0.3">
      <c r="A154" s="144">
        <v>44794</v>
      </c>
      <c r="B154" s="153" t="s">
        <v>417</v>
      </c>
      <c r="C154" s="145" t="s">
        <v>411</v>
      </c>
      <c r="D154" s="145" t="s">
        <v>323</v>
      </c>
      <c r="E154" s="145" t="s">
        <v>361</v>
      </c>
      <c r="F154" s="145" t="s">
        <v>288</v>
      </c>
      <c r="G154" s="131">
        <v>65</v>
      </c>
      <c r="H154" s="146">
        <v>46</v>
      </c>
      <c r="I154" s="145" t="s">
        <v>416</v>
      </c>
      <c r="J154" s="145" t="s">
        <v>212</v>
      </c>
      <c r="K154" s="148">
        <v>8.5</v>
      </c>
      <c r="L154" s="148">
        <v>2</v>
      </c>
      <c r="M154" s="145" t="s">
        <v>215</v>
      </c>
      <c r="N154" s="149">
        <v>36</v>
      </c>
      <c r="O154" s="150">
        <v>4.5999999999999996</v>
      </c>
      <c r="P154" s="150">
        <v>0</v>
      </c>
      <c r="Q154" s="151">
        <v>0</v>
      </c>
      <c r="R154" s="176">
        <v>362</v>
      </c>
      <c r="S154" s="147">
        <v>1.9</v>
      </c>
      <c r="T154" s="145" t="s">
        <v>290</v>
      </c>
      <c r="U154" s="145" t="s">
        <v>418</v>
      </c>
    </row>
    <row r="155" spans="1:21" s="145" customFormat="1" ht="144" x14ac:dyDescent="0.3">
      <c r="A155" s="144">
        <v>44795</v>
      </c>
      <c r="B155" s="153" t="s">
        <v>419</v>
      </c>
      <c r="C155" s="145" t="s">
        <v>411</v>
      </c>
      <c r="D155" s="145" t="s">
        <v>323</v>
      </c>
      <c r="E155" s="145" t="s">
        <v>331</v>
      </c>
      <c r="F155" s="145" t="s">
        <v>288</v>
      </c>
      <c r="G155" s="131">
        <v>65</v>
      </c>
      <c r="H155" s="146">
        <v>5</v>
      </c>
      <c r="I155" s="145" t="s">
        <v>416</v>
      </c>
      <c r="J155" s="145" t="s">
        <v>215</v>
      </c>
      <c r="K155" s="148">
        <v>5.4</v>
      </c>
      <c r="L155" s="148">
        <v>2.4</v>
      </c>
      <c r="M155" s="145" t="s">
        <v>253</v>
      </c>
      <c r="N155" s="149">
        <v>0</v>
      </c>
      <c r="O155" s="150">
        <v>0</v>
      </c>
      <c r="P155" s="135">
        <v>0</v>
      </c>
      <c r="Q155" s="136">
        <v>0</v>
      </c>
      <c r="R155" s="173">
        <v>16</v>
      </c>
      <c r="S155" s="132">
        <v>5.5</v>
      </c>
      <c r="T155" s="130" t="s">
        <v>290</v>
      </c>
      <c r="U155" s="145" t="s">
        <v>420</v>
      </c>
    </row>
    <row r="156" spans="1:21" s="145" customFormat="1" ht="158.4" x14ac:dyDescent="0.3">
      <c r="A156" s="144">
        <v>44795</v>
      </c>
      <c r="B156" s="153" t="s">
        <v>422</v>
      </c>
      <c r="C156" s="145" t="s">
        <v>411</v>
      </c>
      <c r="D156" s="145" t="s">
        <v>323</v>
      </c>
      <c r="E156" s="145" t="s">
        <v>421</v>
      </c>
      <c r="F156" s="145" t="s">
        <v>324</v>
      </c>
      <c r="G156" s="131">
        <v>70</v>
      </c>
      <c r="H156" s="146">
        <v>60</v>
      </c>
      <c r="I156" s="145" t="s">
        <v>390</v>
      </c>
      <c r="J156" s="145" t="s">
        <v>295</v>
      </c>
      <c r="K156" s="148">
        <v>13.6</v>
      </c>
      <c r="L156" s="148">
        <v>2.8</v>
      </c>
      <c r="M156" s="145" t="s">
        <v>211</v>
      </c>
      <c r="N156" s="149">
        <v>114</v>
      </c>
      <c r="O156" s="150">
        <v>17.399999999999999</v>
      </c>
      <c r="P156" s="135">
        <v>0</v>
      </c>
      <c r="Q156" s="136">
        <v>0</v>
      </c>
      <c r="R156" s="173">
        <v>1300</v>
      </c>
      <c r="S156" s="132">
        <v>0.4</v>
      </c>
      <c r="T156" s="130" t="s">
        <v>290</v>
      </c>
      <c r="U156" s="145" t="s">
        <v>425</v>
      </c>
    </row>
    <row r="157" spans="1:21" s="145" customFormat="1" ht="28.8" x14ac:dyDescent="0.3">
      <c r="A157" s="144">
        <v>44795</v>
      </c>
      <c r="B157" s="153" t="s">
        <v>423</v>
      </c>
      <c r="C157" s="145" t="s">
        <v>411</v>
      </c>
      <c r="D157" s="145" t="s">
        <v>323</v>
      </c>
      <c r="E157" s="145" t="s">
        <v>362</v>
      </c>
      <c r="F157" s="145" t="s">
        <v>288</v>
      </c>
      <c r="G157" s="131">
        <v>58</v>
      </c>
      <c r="H157" s="146">
        <v>28</v>
      </c>
      <c r="I157" s="145" t="s">
        <v>390</v>
      </c>
      <c r="J157" s="145" t="s">
        <v>253</v>
      </c>
      <c r="K157" s="148">
        <v>2.7</v>
      </c>
      <c r="L157" s="148">
        <v>0.8</v>
      </c>
      <c r="M157" s="145" t="s">
        <v>215</v>
      </c>
      <c r="N157" s="149">
        <v>6</v>
      </c>
      <c r="O157" s="150">
        <v>0.3</v>
      </c>
      <c r="P157" s="135">
        <v>0</v>
      </c>
      <c r="Q157" s="136">
        <v>0</v>
      </c>
      <c r="R157" s="173">
        <v>34</v>
      </c>
      <c r="S157" s="132">
        <v>15</v>
      </c>
      <c r="T157" s="130" t="s">
        <v>290</v>
      </c>
      <c r="U157" s="145" t="s">
        <v>424</v>
      </c>
    </row>
    <row r="158" spans="1:21" s="145" customFormat="1" ht="28.8" x14ac:dyDescent="0.3">
      <c r="A158" s="144">
        <v>44801</v>
      </c>
      <c r="B158" s="153" t="s">
        <v>429</v>
      </c>
      <c r="C158" s="145" t="s">
        <v>411</v>
      </c>
      <c r="D158" s="145" t="s">
        <v>323</v>
      </c>
      <c r="E158" s="145" t="s">
        <v>322</v>
      </c>
      <c r="F158" s="145" t="s">
        <v>324</v>
      </c>
      <c r="G158" s="131">
        <v>62</v>
      </c>
      <c r="H158" s="146">
        <v>27</v>
      </c>
      <c r="I158" s="145" t="s">
        <v>325</v>
      </c>
      <c r="J158" s="145" t="s">
        <v>211</v>
      </c>
      <c r="K158" s="148">
        <v>6.8</v>
      </c>
      <c r="L158" s="148">
        <v>1.5</v>
      </c>
      <c r="M158" s="145" t="s">
        <v>211</v>
      </c>
      <c r="N158" s="149">
        <v>6</v>
      </c>
      <c r="O158" s="150">
        <v>0.1</v>
      </c>
      <c r="P158" s="135">
        <v>0</v>
      </c>
      <c r="Q158" s="136">
        <v>0</v>
      </c>
      <c r="R158" s="367">
        <v>8</v>
      </c>
      <c r="S158" s="368">
        <v>10.199999999999999</v>
      </c>
      <c r="T158" s="130" t="s">
        <v>290</v>
      </c>
    </row>
    <row r="159" spans="1:21" s="145" customFormat="1" x14ac:dyDescent="0.3">
      <c r="A159" s="144"/>
      <c r="B159" s="153"/>
      <c r="G159" s="131"/>
      <c r="H159" s="146"/>
      <c r="K159" s="148"/>
      <c r="L159" s="148"/>
      <c r="N159" s="149"/>
      <c r="O159" s="150"/>
      <c r="P159" s="135"/>
      <c r="Q159" s="136"/>
      <c r="R159" s="367"/>
      <c r="S159" s="368"/>
      <c r="T159" s="130"/>
    </row>
    <row r="160" spans="1:21" s="145" customFormat="1" x14ac:dyDescent="0.3">
      <c r="A160" s="144"/>
      <c r="B160" s="153"/>
      <c r="G160" s="131"/>
      <c r="H160" s="146"/>
      <c r="K160" s="148"/>
      <c r="L160" s="148"/>
      <c r="N160" s="149"/>
      <c r="O160" s="150"/>
      <c r="P160" s="135"/>
      <c r="Q160" s="136"/>
      <c r="R160" s="173"/>
      <c r="S160" s="132"/>
      <c r="T160" s="130"/>
    </row>
    <row r="161" spans="1:20" s="145" customFormat="1" x14ac:dyDescent="0.3">
      <c r="A161" s="144"/>
      <c r="B161" s="153"/>
      <c r="G161" s="131"/>
      <c r="H161" s="146"/>
      <c r="K161" s="148"/>
      <c r="L161" s="148"/>
      <c r="N161" s="149"/>
      <c r="O161" s="150"/>
      <c r="P161" s="135"/>
      <c r="Q161" s="136"/>
      <c r="R161" s="173"/>
      <c r="S161" s="132"/>
      <c r="T161" s="130"/>
    </row>
    <row r="162" spans="1:20" s="145" customFormat="1" x14ac:dyDescent="0.3">
      <c r="A162" s="144"/>
      <c r="B162" s="153"/>
      <c r="G162" s="131"/>
      <c r="H162" s="146"/>
      <c r="K162" s="148"/>
      <c r="L162" s="148"/>
      <c r="N162" s="149"/>
      <c r="O162" s="150"/>
      <c r="P162" s="135"/>
      <c r="Q162" s="136"/>
      <c r="R162" s="173"/>
      <c r="S162" s="132"/>
      <c r="T162" s="130"/>
    </row>
    <row r="163" spans="1:20" s="145" customFormat="1" x14ac:dyDescent="0.3">
      <c r="A163" s="144"/>
      <c r="B163" s="153"/>
      <c r="G163" s="131"/>
      <c r="H163" s="146"/>
      <c r="K163" s="148"/>
      <c r="L163" s="148"/>
      <c r="N163" s="149"/>
      <c r="O163" s="150"/>
      <c r="P163" s="135"/>
      <c r="Q163" s="136"/>
      <c r="R163" s="173"/>
      <c r="S163" s="132"/>
      <c r="T163" s="130"/>
    </row>
    <row r="164" spans="1:20" s="145" customFormat="1" x14ac:dyDescent="0.3">
      <c r="A164" s="144"/>
      <c r="G164" s="131"/>
      <c r="H164" s="146"/>
      <c r="K164" s="148"/>
      <c r="L164" s="148"/>
      <c r="N164" s="149"/>
      <c r="O164" s="150"/>
      <c r="P164" s="135"/>
      <c r="Q164" s="136"/>
      <c r="R164" s="173"/>
      <c r="S164" s="132"/>
      <c r="T164" s="130"/>
    </row>
    <row r="165" spans="1:20" s="145" customFormat="1" x14ac:dyDescent="0.3">
      <c r="A165" s="144"/>
      <c r="C165" s="55" t="s">
        <v>139</v>
      </c>
      <c r="D165" s="55"/>
      <c r="E165" s="130"/>
      <c r="F165" s="130"/>
      <c r="G165" s="131"/>
      <c r="H165" s="130">
        <f>COUNTIF(T149:T164,"*áno*")</f>
        <v>10</v>
      </c>
      <c r="K165" s="148"/>
      <c r="L165" s="148"/>
      <c r="N165" s="149"/>
      <c r="O165" s="150"/>
      <c r="Q165" s="151"/>
      <c r="R165" s="176"/>
      <c r="S165" s="147"/>
    </row>
    <row r="166" spans="1:20" s="145" customFormat="1" x14ac:dyDescent="0.3">
      <c r="A166" s="144"/>
      <c r="C166" s="55" t="s">
        <v>140</v>
      </c>
      <c r="D166" s="55"/>
      <c r="E166" s="130"/>
      <c r="F166" s="130"/>
      <c r="G166" s="131"/>
      <c r="H166" s="130">
        <f>COUNTIF(E149:E164,"*w*")</f>
        <v>7</v>
      </c>
      <c r="K166" s="148"/>
      <c r="L166" s="148"/>
      <c r="N166" s="149"/>
      <c r="O166" s="150"/>
      <c r="P166" s="150"/>
      <c r="Q166" s="151"/>
      <c r="R166" s="176"/>
      <c r="S166" s="147"/>
    </row>
    <row r="167" spans="1:20" s="145" customFormat="1" x14ac:dyDescent="0.3">
      <c r="A167" s="144"/>
      <c r="C167" s="55" t="s">
        <v>141</v>
      </c>
      <c r="D167" s="55"/>
      <c r="E167" s="130"/>
      <c r="F167" s="130"/>
      <c r="G167" s="131"/>
      <c r="H167" s="130">
        <f>COUNTIF(E149:E164,"*P*")</f>
        <v>2</v>
      </c>
      <c r="K167" s="148"/>
      <c r="L167" s="148"/>
      <c r="N167" s="149"/>
      <c r="O167" s="150"/>
      <c r="P167" s="150"/>
      <c r="Q167" s="151"/>
      <c r="R167" s="176"/>
      <c r="S167" s="147"/>
    </row>
    <row r="168" spans="1:20" s="145" customFormat="1" x14ac:dyDescent="0.3">
      <c r="A168" s="144"/>
      <c r="C168" s="55" t="s">
        <v>142</v>
      </c>
      <c r="D168" s="55"/>
      <c r="E168" s="130"/>
      <c r="F168" s="130"/>
      <c r="G168" s="131"/>
      <c r="H168" s="130">
        <f>COUNTIF(E149:E164,"*L*")</f>
        <v>3</v>
      </c>
      <c r="K168" s="148"/>
      <c r="L168" s="148"/>
      <c r="N168" s="149"/>
      <c r="O168" s="150"/>
      <c r="P168" s="150"/>
      <c r="Q168" s="151"/>
      <c r="R168" s="176"/>
      <c r="S168" s="147"/>
    </row>
    <row r="169" spans="1:20" s="145" customFormat="1" x14ac:dyDescent="0.3">
      <c r="A169" s="144"/>
      <c r="C169" s="55" t="s">
        <v>143</v>
      </c>
      <c r="D169" s="55"/>
      <c r="E169" s="130"/>
      <c r="F169" s="130"/>
      <c r="G169" s="131"/>
      <c r="H169" s="130">
        <f>COUNTIF(E149:E164,"*V*")</f>
        <v>5</v>
      </c>
      <c r="K169" s="148"/>
      <c r="L169" s="148"/>
      <c r="N169" s="149"/>
      <c r="O169" s="150"/>
      <c r="P169" s="150"/>
      <c r="Q169" s="151"/>
      <c r="R169" s="176"/>
      <c r="S169" s="147"/>
    </row>
    <row r="170" spans="1:20" s="145" customFormat="1" x14ac:dyDescent="0.3">
      <c r="A170" s="144"/>
      <c r="C170" s="55"/>
      <c r="D170" s="55"/>
      <c r="E170" s="130"/>
      <c r="F170" s="130"/>
      <c r="G170" s="131"/>
      <c r="H170" s="130"/>
      <c r="K170" s="148"/>
      <c r="L170" s="148"/>
      <c r="N170" s="149"/>
      <c r="O170" s="150"/>
      <c r="P170" s="150"/>
      <c r="Q170" s="151"/>
      <c r="R170" s="176"/>
      <c r="S170" s="147"/>
    </row>
    <row r="171" spans="1:20" s="145" customFormat="1" x14ac:dyDescent="0.3">
      <c r="A171" s="144"/>
      <c r="C171" s="55" t="s">
        <v>144</v>
      </c>
      <c r="D171" s="55"/>
      <c r="E171" s="130"/>
      <c r="F171" s="130"/>
      <c r="G171" s="131"/>
      <c r="H171" s="130">
        <f>COUNTIF(E149:E164,"*D*")</f>
        <v>7</v>
      </c>
      <c r="K171" s="148"/>
      <c r="L171" s="148"/>
      <c r="N171" s="149"/>
      <c r="O171" s="150"/>
      <c r="P171" s="150"/>
      <c r="Q171" s="151"/>
      <c r="R171" s="176"/>
      <c r="S171" s="147"/>
    </row>
    <row r="172" spans="1:20" s="145" customFormat="1" x14ac:dyDescent="0.3">
      <c r="A172" s="144"/>
      <c r="C172" s="55" t="s">
        <v>145</v>
      </c>
      <c r="D172" s="55"/>
      <c r="E172" s="130"/>
      <c r="F172" s="130"/>
      <c r="G172" s="131"/>
      <c r="H172" s="130">
        <f>COUNTIF(E149:E164,"*S*")</f>
        <v>0</v>
      </c>
      <c r="K172" s="148"/>
      <c r="L172" s="148"/>
      <c r="N172" s="149"/>
      <c r="O172" s="150"/>
      <c r="P172" s="150"/>
      <c r="Q172" s="151"/>
      <c r="R172" s="176"/>
      <c r="S172" s="147"/>
    </row>
    <row r="173" spans="1:20" s="145" customFormat="1" x14ac:dyDescent="0.3">
      <c r="A173" s="144"/>
      <c r="C173" s="55" t="s">
        <v>146</v>
      </c>
      <c r="D173" s="55"/>
      <c r="E173" s="130"/>
      <c r="F173" s="130"/>
      <c r="G173" s="131"/>
      <c r="H173" s="130">
        <f>COUNTIF(E149:E164,"*K*")</f>
        <v>1</v>
      </c>
      <c r="K173" s="148"/>
      <c r="L173" s="148"/>
      <c r="N173" s="149"/>
      <c r="O173" s="150"/>
      <c r="P173" s="150"/>
      <c r="Q173" s="151"/>
      <c r="R173" s="176"/>
      <c r="S173" s="147"/>
    </row>
    <row r="174" spans="1:20" s="145" customFormat="1" x14ac:dyDescent="0.3">
      <c r="A174" s="144"/>
      <c r="C174" s="55" t="s">
        <v>147</v>
      </c>
      <c r="D174" s="55"/>
      <c r="E174" s="130"/>
      <c r="F174" s="130"/>
      <c r="G174" s="131"/>
      <c r="H174" s="130">
        <f>COUNTIF(E149:E164,"*Z*")</f>
        <v>5</v>
      </c>
      <c r="K174" s="148"/>
      <c r="L174" s="148"/>
      <c r="N174" s="149"/>
      <c r="O174" s="150"/>
      <c r="P174" s="150"/>
      <c r="Q174" s="151"/>
      <c r="R174" s="176"/>
      <c r="S174" s="147"/>
    </row>
    <row r="175" spans="1:20" s="145" customFormat="1" x14ac:dyDescent="0.3">
      <c r="A175" s="144"/>
      <c r="C175" s="156"/>
      <c r="D175" s="156"/>
      <c r="G175" s="131"/>
      <c r="K175" s="148"/>
      <c r="L175" s="148"/>
      <c r="N175" s="149"/>
      <c r="O175" s="150"/>
      <c r="P175" s="150"/>
      <c r="Q175" s="151"/>
      <c r="R175" s="176"/>
      <c r="S175" s="147"/>
    </row>
    <row r="176" spans="1:20" s="145" customFormat="1" x14ac:dyDescent="0.3">
      <c r="A176" s="152" t="s">
        <v>114</v>
      </c>
      <c r="G176" s="131"/>
      <c r="H176" s="146"/>
      <c r="K176" s="148"/>
      <c r="L176" s="148"/>
      <c r="N176" s="149"/>
      <c r="O176" s="150"/>
      <c r="P176" s="150"/>
      <c r="Q176" s="151"/>
      <c r="R176" s="176"/>
      <c r="S176" s="147"/>
    </row>
    <row r="177" spans="1:20" s="145" customFormat="1" ht="28.8" x14ac:dyDescent="0.3">
      <c r="A177" s="144">
        <v>44812</v>
      </c>
      <c r="B177" s="153" t="s">
        <v>432</v>
      </c>
      <c r="C177" s="145" t="s">
        <v>337</v>
      </c>
      <c r="D177" s="145" t="s">
        <v>323</v>
      </c>
      <c r="E177" s="145" t="s">
        <v>350</v>
      </c>
      <c r="F177" s="145" t="s">
        <v>324</v>
      </c>
      <c r="G177" s="131">
        <v>58</v>
      </c>
      <c r="H177" s="146">
        <v>52</v>
      </c>
      <c r="I177" s="145" t="s">
        <v>339</v>
      </c>
      <c r="J177" s="145" t="s">
        <v>295</v>
      </c>
      <c r="K177" s="148">
        <v>12.2</v>
      </c>
      <c r="L177" s="148">
        <v>2.6</v>
      </c>
      <c r="M177" s="145" t="s">
        <v>211</v>
      </c>
      <c r="N177" s="149">
        <v>48</v>
      </c>
      <c r="O177" s="150">
        <v>6.7</v>
      </c>
      <c r="P177" s="150">
        <v>0</v>
      </c>
      <c r="Q177" s="151">
        <v>0</v>
      </c>
      <c r="R177" s="176">
        <v>78</v>
      </c>
      <c r="S177" s="147">
        <v>4.5</v>
      </c>
      <c r="T177" s="145" t="s">
        <v>290</v>
      </c>
    </row>
    <row r="178" spans="1:20" s="145" customFormat="1" x14ac:dyDescent="0.3">
      <c r="A178" s="144"/>
      <c r="B178" s="153"/>
      <c r="G178" s="131"/>
      <c r="H178" s="146"/>
      <c r="K178" s="148"/>
      <c r="L178" s="148"/>
      <c r="N178" s="149"/>
      <c r="O178" s="150"/>
      <c r="P178" s="150"/>
      <c r="Q178" s="151"/>
      <c r="R178" s="176"/>
      <c r="S178" s="147"/>
    </row>
    <row r="179" spans="1:20" s="145" customFormat="1" x14ac:dyDescent="0.3">
      <c r="A179" s="144"/>
      <c r="G179" s="131"/>
      <c r="H179" s="146"/>
      <c r="K179" s="148"/>
      <c r="L179" s="148"/>
      <c r="N179" s="149"/>
      <c r="O179" s="150"/>
      <c r="P179" s="150"/>
      <c r="Q179" s="151"/>
      <c r="R179" s="176"/>
      <c r="S179" s="147"/>
    </row>
    <row r="180" spans="1:20" s="145" customFormat="1" x14ac:dyDescent="0.3">
      <c r="A180" s="144"/>
      <c r="G180" s="131"/>
      <c r="H180" s="146"/>
      <c r="K180" s="148"/>
      <c r="L180" s="148"/>
      <c r="N180" s="149"/>
      <c r="O180" s="150"/>
      <c r="P180" s="150"/>
      <c r="Q180" s="151"/>
      <c r="R180" s="176"/>
      <c r="S180" s="147"/>
    </row>
    <row r="181" spans="1:20" s="145" customFormat="1" x14ac:dyDescent="0.3">
      <c r="A181" s="144"/>
      <c r="G181" s="131"/>
      <c r="H181" s="146"/>
      <c r="K181" s="148"/>
      <c r="L181" s="148"/>
      <c r="N181" s="149"/>
      <c r="O181" s="150"/>
      <c r="P181" s="150"/>
      <c r="Q181" s="151"/>
      <c r="R181" s="176"/>
      <c r="S181" s="147"/>
    </row>
    <row r="182" spans="1:20" s="145" customFormat="1" x14ac:dyDescent="0.3">
      <c r="A182" s="144"/>
      <c r="B182" s="153"/>
      <c r="G182" s="131"/>
      <c r="H182" s="146"/>
      <c r="K182" s="148"/>
      <c r="L182" s="148"/>
      <c r="N182" s="149"/>
      <c r="O182" s="150"/>
      <c r="P182" s="150"/>
      <c r="Q182" s="151"/>
      <c r="R182" s="176"/>
      <c r="S182" s="147"/>
    </row>
    <row r="183" spans="1:20" s="145" customFormat="1" x14ac:dyDescent="0.3">
      <c r="A183" s="144"/>
      <c r="B183" s="153"/>
      <c r="C183" s="55" t="s">
        <v>139</v>
      </c>
      <c r="D183" s="55"/>
      <c r="E183" s="130"/>
      <c r="F183" s="130"/>
      <c r="G183" s="131"/>
      <c r="H183" s="130">
        <f>COUNTIF(T177:T182,"*áno*")</f>
        <v>1</v>
      </c>
      <c r="K183" s="148"/>
      <c r="L183" s="148"/>
      <c r="N183" s="149"/>
      <c r="O183" s="150"/>
      <c r="P183" s="150"/>
      <c r="Q183" s="151"/>
      <c r="R183" s="176"/>
      <c r="S183" s="147"/>
    </row>
    <row r="184" spans="1:20" s="145" customFormat="1" x14ac:dyDescent="0.3">
      <c r="A184" s="144"/>
      <c r="B184" s="153"/>
      <c r="C184" s="55" t="s">
        <v>140</v>
      </c>
      <c r="D184" s="55"/>
      <c r="E184" s="130"/>
      <c r="F184" s="130"/>
      <c r="G184" s="131"/>
      <c r="H184" s="130">
        <f>COUNTIF(E177:E182,"*w*")</f>
        <v>1</v>
      </c>
      <c r="K184" s="148"/>
      <c r="L184" s="148"/>
      <c r="N184" s="149"/>
      <c r="O184" s="150"/>
      <c r="P184" s="150"/>
      <c r="Q184" s="151"/>
      <c r="R184" s="176"/>
      <c r="S184" s="147"/>
    </row>
    <row r="185" spans="1:20" s="145" customFormat="1" x14ac:dyDescent="0.3">
      <c r="A185" s="144"/>
      <c r="B185" s="153"/>
      <c r="C185" s="55" t="s">
        <v>141</v>
      </c>
      <c r="D185" s="55"/>
      <c r="E185" s="130"/>
      <c r="F185" s="130"/>
      <c r="G185" s="131"/>
      <c r="H185" s="130">
        <f>COUNTIF(E177:E182,"*P*")</f>
        <v>0</v>
      </c>
      <c r="K185" s="148"/>
      <c r="L185" s="148"/>
      <c r="N185" s="149"/>
      <c r="O185" s="150"/>
      <c r="P185" s="150"/>
      <c r="Q185" s="151"/>
      <c r="R185" s="176"/>
      <c r="S185" s="147"/>
    </row>
    <row r="186" spans="1:20" s="145" customFormat="1" x14ac:dyDescent="0.3">
      <c r="A186" s="144"/>
      <c r="B186" s="153"/>
      <c r="C186" s="55" t="s">
        <v>142</v>
      </c>
      <c r="D186" s="55"/>
      <c r="E186" s="130"/>
      <c r="F186" s="130"/>
      <c r="G186" s="131"/>
      <c r="H186" s="130">
        <f>COUNTIF(E177:E182,"*L*")</f>
        <v>1</v>
      </c>
      <c r="K186" s="148"/>
      <c r="L186" s="148"/>
      <c r="N186" s="149"/>
      <c r="O186" s="150"/>
      <c r="P186" s="150"/>
      <c r="Q186" s="151"/>
      <c r="R186" s="176"/>
      <c r="S186" s="147"/>
    </row>
    <row r="187" spans="1:20" s="145" customFormat="1" x14ac:dyDescent="0.3">
      <c r="A187" s="144"/>
      <c r="C187" s="55" t="s">
        <v>143</v>
      </c>
      <c r="D187" s="55"/>
      <c r="E187" s="130"/>
      <c r="F187" s="130"/>
      <c r="G187" s="131"/>
      <c r="H187" s="130">
        <f>COUNTIF(E177:E182,"*V*")</f>
        <v>0</v>
      </c>
      <c r="K187" s="148"/>
      <c r="L187" s="148"/>
      <c r="N187" s="149"/>
      <c r="O187" s="150"/>
      <c r="P187" s="150"/>
      <c r="Q187" s="151"/>
      <c r="R187" s="176"/>
      <c r="S187" s="147"/>
    </row>
    <row r="188" spans="1:20" s="145" customFormat="1" x14ac:dyDescent="0.3">
      <c r="A188" s="144"/>
      <c r="C188" s="55"/>
      <c r="D188" s="55"/>
      <c r="E188" s="130"/>
      <c r="F188" s="130"/>
      <c r="G188" s="131"/>
      <c r="H188" s="130"/>
      <c r="K188" s="148"/>
      <c r="L188" s="148"/>
      <c r="N188" s="149"/>
      <c r="O188" s="150"/>
      <c r="P188" s="150"/>
      <c r="Q188" s="151"/>
      <c r="R188" s="176"/>
      <c r="S188" s="147"/>
    </row>
    <row r="189" spans="1:20" s="145" customFormat="1" x14ac:dyDescent="0.3">
      <c r="A189" s="144"/>
      <c r="C189" s="55" t="s">
        <v>144</v>
      </c>
      <c r="D189" s="55"/>
      <c r="E189" s="130"/>
      <c r="F189" s="130"/>
      <c r="G189" s="131"/>
      <c r="H189" s="130">
        <f>COUNTIF(E177:E182,"*D*")</f>
        <v>1</v>
      </c>
      <c r="K189" s="148"/>
      <c r="L189" s="148"/>
      <c r="N189" s="149"/>
      <c r="O189" s="150"/>
      <c r="P189" s="150"/>
      <c r="Q189" s="151"/>
      <c r="R189" s="176"/>
      <c r="S189" s="147"/>
    </row>
    <row r="190" spans="1:20" s="145" customFormat="1" x14ac:dyDescent="0.3">
      <c r="A190" s="144"/>
      <c r="C190" s="55" t="s">
        <v>145</v>
      </c>
      <c r="D190" s="55"/>
      <c r="E190" s="130"/>
      <c r="F190" s="130"/>
      <c r="G190" s="131"/>
      <c r="H190" s="130">
        <f>COUNTIF(E177:E182,"*S*")</f>
        <v>0</v>
      </c>
      <c r="K190" s="148"/>
      <c r="L190" s="148"/>
      <c r="N190" s="149"/>
      <c r="O190" s="150"/>
      <c r="P190" s="150"/>
      <c r="Q190" s="151"/>
      <c r="R190" s="176"/>
      <c r="S190" s="147"/>
    </row>
    <row r="191" spans="1:20" s="145" customFormat="1" x14ac:dyDescent="0.3">
      <c r="A191" s="144"/>
      <c r="C191" s="55" t="s">
        <v>146</v>
      </c>
      <c r="D191" s="55"/>
      <c r="E191" s="130"/>
      <c r="F191" s="130"/>
      <c r="G191" s="131"/>
      <c r="H191" s="130">
        <f>COUNTIF(E177:E182,"*K*")</f>
        <v>0</v>
      </c>
      <c r="K191" s="148"/>
      <c r="L191" s="148"/>
      <c r="N191" s="149"/>
      <c r="O191" s="150"/>
      <c r="P191" s="150"/>
      <c r="Q191" s="151"/>
      <c r="R191" s="176"/>
      <c r="S191" s="147"/>
    </row>
    <row r="192" spans="1:20" s="145" customFormat="1" x14ac:dyDescent="0.3">
      <c r="A192" s="144"/>
      <c r="C192" s="55" t="s">
        <v>147</v>
      </c>
      <c r="D192" s="55"/>
      <c r="E192" s="130"/>
      <c r="F192" s="130"/>
      <c r="G192" s="131"/>
      <c r="H192" s="130">
        <f>COUNTIF(E177:E182,"*Z*")</f>
        <v>1</v>
      </c>
      <c r="K192" s="148"/>
      <c r="L192" s="148"/>
      <c r="N192" s="149"/>
      <c r="O192" s="150"/>
      <c r="P192" s="150"/>
      <c r="Q192" s="151"/>
      <c r="R192" s="176"/>
      <c r="S192" s="147"/>
    </row>
    <row r="193" spans="1:21" s="145" customFormat="1" x14ac:dyDescent="0.3">
      <c r="A193" s="144"/>
      <c r="C193" s="156"/>
      <c r="D193" s="156"/>
      <c r="G193" s="131"/>
      <c r="K193" s="148"/>
      <c r="L193" s="148"/>
      <c r="N193" s="149"/>
      <c r="O193" s="150"/>
      <c r="P193" s="150"/>
      <c r="Q193" s="151"/>
      <c r="R193" s="176"/>
      <c r="S193" s="147"/>
    </row>
    <row r="194" spans="1:21" s="145" customFormat="1" x14ac:dyDescent="0.3">
      <c r="A194" s="152" t="s">
        <v>180</v>
      </c>
      <c r="G194" s="131"/>
      <c r="H194" s="146"/>
      <c r="K194" s="148"/>
      <c r="L194" s="148"/>
      <c r="N194" s="149"/>
      <c r="O194" s="150"/>
      <c r="P194" s="150"/>
      <c r="Q194" s="151"/>
      <c r="R194" s="176"/>
      <c r="S194" s="147"/>
    </row>
    <row r="195" spans="1:21" s="145" customFormat="1" ht="86.4" x14ac:dyDescent="0.3">
      <c r="A195" s="144">
        <v>44859</v>
      </c>
      <c r="B195" s="145" t="s">
        <v>453</v>
      </c>
      <c r="C195" s="369" t="s">
        <v>446</v>
      </c>
      <c r="D195" s="370" t="s">
        <v>323</v>
      </c>
      <c r="E195" s="145" t="s">
        <v>309</v>
      </c>
      <c r="F195" s="145" t="s">
        <v>288</v>
      </c>
      <c r="G195" s="131">
        <v>62</v>
      </c>
      <c r="H195" s="146">
        <v>0</v>
      </c>
      <c r="I195" s="145" t="s">
        <v>289</v>
      </c>
      <c r="J195" s="145" t="s">
        <v>213</v>
      </c>
      <c r="K195" s="148">
        <v>4.4000000000000004</v>
      </c>
      <c r="L195" s="148">
        <v>1.1000000000000001</v>
      </c>
      <c r="M195" s="145" t="s">
        <v>211</v>
      </c>
      <c r="N195" s="149">
        <v>0</v>
      </c>
      <c r="O195" s="150">
        <v>0</v>
      </c>
      <c r="P195" s="150">
        <v>0</v>
      </c>
      <c r="Q195" s="151">
        <v>0</v>
      </c>
      <c r="R195" s="176">
        <v>15</v>
      </c>
      <c r="S195" s="147">
        <v>11.9</v>
      </c>
      <c r="T195" s="145" t="s">
        <v>290</v>
      </c>
      <c r="U195" s="145" t="s">
        <v>452</v>
      </c>
    </row>
    <row r="196" spans="1:21" s="145" customFormat="1" x14ac:dyDescent="0.3">
      <c r="A196" s="144"/>
      <c r="C196" s="369"/>
      <c r="D196" s="370"/>
      <c r="G196" s="131"/>
      <c r="H196" s="146"/>
      <c r="K196" s="148"/>
      <c r="L196" s="148"/>
      <c r="N196" s="149"/>
      <c r="O196" s="150"/>
      <c r="P196" s="150"/>
      <c r="Q196" s="151"/>
      <c r="R196" s="176"/>
      <c r="S196" s="147"/>
    </row>
    <row r="197" spans="1:21" s="145" customFormat="1" x14ac:dyDescent="0.3">
      <c r="A197" s="144"/>
      <c r="C197" s="156"/>
      <c r="D197" s="156"/>
      <c r="G197" s="131"/>
      <c r="H197" s="146"/>
      <c r="K197" s="148"/>
      <c r="L197" s="148"/>
      <c r="N197" s="149"/>
      <c r="O197" s="150"/>
      <c r="P197" s="150"/>
      <c r="Q197" s="151"/>
      <c r="R197" s="176"/>
      <c r="S197" s="147"/>
    </row>
    <row r="198" spans="1:21" s="145" customFormat="1" x14ac:dyDescent="0.3">
      <c r="A198" s="144"/>
      <c r="C198" s="55" t="s">
        <v>139</v>
      </c>
      <c r="D198" s="55"/>
      <c r="E198" s="130"/>
      <c r="F198" s="130"/>
      <c r="G198" s="131"/>
      <c r="H198" s="130">
        <f>COUNTIF(T195:T197,"*áno*")</f>
        <v>1</v>
      </c>
      <c r="K198" s="148"/>
      <c r="L198" s="148"/>
      <c r="N198" s="149"/>
      <c r="O198" s="150"/>
      <c r="P198" s="150"/>
      <c r="Q198" s="151"/>
      <c r="R198" s="176"/>
      <c r="S198" s="147"/>
    </row>
    <row r="199" spans="1:21" s="145" customFormat="1" x14ac:dyDescent="0.3">
      <c r="A199" s="144"/>
      <c r="C199" s="55" t="s">
        <v>140</v>
      </c>
      <c r="D199" s="55"/>
      <c r="E199" s="130"/>
      <c r="F199" s="130"/>
      <c r="G199" s="131"/>
      <c r="H199" s="130">
        <f>COUNTIF(E195:E197,"*w*")</f>
        <v>1</v>
      </c>
      <c r="K199" s="148"/>
      <c r="L199" s="148"/>
      <c r="N199" s="149"/>
      <c r="O199" s="150"/>
      <c r="P199" s="150"/>
      <c r="Q199" s="151"/>
      <c r="R199" s="176"/>
      <c r="S199" s="147"/>
    </row>
    <row r="200" spans="1:21" s="145" customFormat="1" x14ac:dyDescent="0.3">
      <c r="A200" s="144"/>
      <c r="C200" s="55" t="s">
        <v>141</v>
      </c>
      <c r="D200" s="55"/>
      <c r="E200" s="130"/>
      <c r="F200" s="130"/>
      <c r="G200" s="131"/>
      <c r="H200" s="130">
        <f>COUNTIF(E195:E197,"*P*")</f>
        <v>0</v>
      </c>
      <c r="K200" s="148"/>
      <c r="L200" s="148"/>
      <c r="N200" s="149"/>
      <c r="O200" s="150"/>
      <c r="P200" s="150"/>
      <c r="Q200" s="151"/>
      <c r="R200" s="176"/>
      <c r="S200" s="147"/>
    </row>
    <row r="201" spans="1:21" s="145" customFormat="1" x14ac:dyDescent="0.3">
      <c r="A201" s="144"/>
      <c r="C201" s="55" t="s">
        <v>142</v>
      </c>
      <c r="D201" s="55"/>
      <c r="E201" s="130"/>
      <c r="F201" s="130"/>
      <c r="G201" s="131"/>
      <c r="H201" s="130">
        <f>COUNTIF(E195:E197,"*L*")</f>
        <v>0</v>
      </c>
      <c r="K201" s="148"/>
      <c r="L201" s="148"/>
      <c r="N201" s="149"/>
      <c r="O201" s="150"/>
      <c r="P201" s="150"/>
      <c r="Q201" s="151"/>
      <c r="R201" s="176"/>
      <c r="S201" s="147"/>
    </row>
    <row r="202" spans="1:21" s="145" customFormat="1" x14ac:dyDescent="0.3">
      <c r="A202" s="144"/>
      <c r="C202" s="55" t="s">
        <v>143</v>
      </c>
      <c r="D202" s="55"/>
      <c r="E202" s="130"/>
      <c r="F202" s="130"/>
      <c r="G202" s="131"/>
      <c r="H202" s="130">
        <f>COUNTIF(E195:E197,"*V*")</f>
        <v>1</v>
      </c>
      <c r="K202" s="148"/>
      <c r="L202" s="148"/>
      <c r="N202" s="149"/>
      <c r="O202" s="150"/>
      <c r="P202" s="150"/>
      <c r="Q202" s="151"/>
      <c r="R202" s="176"/>
      <c r="S202" s="147"/>
    </row>
    <row r="203" spans="1:21" s="145" customFormat="1" x14ac:dyDescent="0.3">
      <c r="A203" s="144"/>
      <c r="C203" s="55"/>
      <c r="D203" s="55"/>
      <c r="E203" s="130"/>
      <c r="F203" s="130"/>
      <c r="G203" s="131"/>
      <c r="H203" s="130"/>
      <c r="K203" s="148"/>
      <c r="L203" s="148"/>
      <c r="N203" s="149"/>
      <c r="O203" s="150"/>
      <c r="P203" s="150"/>
      <c r="Q203" s="151"/>
      <c r="R203" s="176"/>
      <c r="S203" s="147"/>
    </row>
    <row r="204" spans="1:21" s="145" customFormat="1" x14ac:dyDescent="0.3">
      <c r="A204" s="144"/>
      <c r="C204" s="55" t="s">
        <v>144</v>
      </c>
      <c r="D204" s="55"/>
      <c r="E204" s="130"/>
      <c r="F204" s="130"/>
      <c r="G204" s="131"/>
      <c r="H204" s="130">
        <f>COUNTIF(E195:E197,"*D*")</f>
        <v>0</v>
      </c>
      <c r="K204" s="148"/>
      <c r="L204" s="148"/>
      <c r="N204" s="149"/>
      <c r="O204" s="150"/>
      <c r="P204" s="150"/>
      <c r="Q204" s="151"/>
      <c r="R204" s="176"/>
      <c r="S204" s="147"/>
    </row>
    <row r="205" spans="1:21" s="145" customFormat="1" x14ac:dyDescent="0.3">
      <c r="A205" s="144"/>
      <c r="C205" s="55" t="s">
        <v>145</v>
      </c>
      <c r="D205" s="55"/>
      <c r="E205" s="130"/>
      <c r="F205" s="130"/>
      <c r="G205" s="131"/>
      <c r="H205" s="130">
        <f>COUNTIF(E195:E197,"*S*")</f>
        <v>0</v>
      </c>
      <c r="K205" s="148"/>
      <c r="L205" s="148"/>
      <c r="N205" s="149"/>
      <c r="O205" s="150"/>
      <c r="P205" s="150"/>
      <c r="Q205" s="151"/>
      <c r="R205" s="176"/>
      <c r="S205" s="147"/>
    </row>
    <row r="206" spans="1:21" s="145" customFormat="1" x14ac:dyDescent="0.3">
      <c r="A206" s="144"/>
      <c r="C206" s="55" t="s">
        <v>146</v>
      </c>
      <c r="D206" s="55"/>
      <c r="E206" s="130"/>
      <c r="F206" s="130"/>
      <c r="G206" s="131"/>
      <c r="H206" s="130">
        <f>COUNTIF(E195:E197,"*K*")</f>
        <v>0</v>
      </c>
      <c r="K206" s="148"/>
      <c r="L206" s="148"/>
      <c r="N206" s="149"/>
      <c r="O206" s="150"/>
      <c r="P206" s="150"/>
      <c r="Q206" s="151"/>
      <c r="R206" s="176"/>
      <c r="S206" s="147"/>
    </row>
    <row r="207" spans="1:21" s="145" customFormat="1" x14ac:dyDescent="0.3">
      <c r="A207" s="144"/>
      <c r="C207" s="55" t="s">
        <v>147</v>
      </c>
      <c r="D207" s="55"/>
      <c r="E207" s="130"/>
      <c r="F207" s="130"/>
      <c r="G207" s="131"/>
      <c r="H207" s="130">
        <f>COUNTIF(E195:E197,"*Z*")</f>
        <v>0</v>
      </c>
      <c r="K207" s="148"/>
      <c r="L207" s="148"/>
      <c r="N207" s="149"/>
      <c r="O207" s="150"/>
      <c r="P207" s="150"/>
      <c r="Q207" s="151"/>
      <c r="R207" s="176"/>
      <c r="S207" s="147"/>
    </row>
    <row r="208" spans="1:21" s="145" customFormat="1" x14ac:dyDescent="0.3">
      <c r="A208" s="144"/>
      <c r="C208" s="156"/>
      <c r="D208" s="156"/>
      <c r="G208" s="131"/>
      <c r="K208" s="148"/>
      <c r="L208" s="148"/>
      <c r="N208" s="149"/>
      <c r="O208" s="150"/>
      <c r="P208" s="150"/>
      <c r="Q208" s="151"/>
      <c r="R208" s="176"/>
      <c r="S208" s="147"/>
    </row>
    <row r="209" spans="1:19" s="145" customFormat="1" x14ac:dyDescent="0.3">
      <c r="A209" s="152" t="s">
        <v>181</v>
      </c>
      <c r="G209" s="131"/>
      <c r="H209" s="146"/>
      <c r="K209" s="148"/>
      <c r="L209" s="148"/>
      <c r="N209" s="149"/>
      <c r="O209" s="150"/>
      <c r="P209" s="150"/>
      <c r="Q209" s="151"/>
      <c r="R209" s="176"/>
      <c r="S209" s="147"/>
    </row>
    <row r="210" spans="1:19" s="145" customFormat="1" x14ac:dyDescent="0.3">
      <c r="A210" s="144"/>
      <c r="C210" s="156"/>
      <c r="D210" s="156"/>
      <c r="G210" s="131"/>
      <c r="K210" s="148"/>
      <c r="L210" s="148"/>
      <c r="N210" s="149"/>
      <c r="O210" s="150"/>
      <c r="P210" s="150"/>
      <c r="Q210" s="151"/>
      <c r="R210" s="176"/>
      <c r="S210" s="147"/>
    </row>
    <row r="211" spans="1:19" s="145" customFormat="1" x14ac:dyDescent="0.3">
      <c r="A211" s="144"/>
      <c r="C211" s="156"/>
      <c r="D211" s="156"/>
      <c r="G211" s="131"/>
      <c r="K211" s="148"/>
      <c r="L211" s="148"/>
      <c r="N211" s="149"/>
      <c r="O211" s="150"/>
      <c r="P211" s="150"/>
      <c r="Q211" s="151"/>
      <c r="R211" s="176"/>
      <c r="S211" s="147"/>
    </row>
    <row r="212" spans="1:19" s="145" customFormat="1" x14ac:dyDescent="0.3">
      <c r="A212" s="144"/>
      <c r="C212" s="156"/>
      <c r="D212" s="156"/>
      <c r="G212" s="131"/>
      <c r="K212" s="148"/>
      <c r="L212" s="148"/>
      <c r="N212" s="149"/>
      <c r="O212" s="150"/>
      <c r="P212" s="150"/>
      <c r="Q212" s="151"/>
      <c r="R212" s="176"/>
      <c r="S212" s="147"/>
    </row>
    <row r="213" spans="1:19" s="145" customFormat="1" x14ac:dyDescent="0.3">
      <c r="A213" s="144"/>
      <c r="C213" s="55" t="s">
        <v>139</v>
      </c>
      <c r="D213" s="55"/>
      <c r="E213" s="130"/>
      <c r="F213" s="130"/>
      <c r="G213" s="131"/>
      <c r="H213" s="130">
        <f>COUNTIF(T210:T212,"*áno*")</f>
        <v>0</v>
      </c>
      <c r="K213" s="148"/>
      <c r="L213" s="148"/>
      <c r="N213" s="149"/>
      <c r="O213" s="150"/>
      <c r="P213" s="150"/>
      <c r="Q213" s="151"/>
      <c r="R213" s="176"/>
      <c r="S213" s="147"/>
    </row>
    <row r="214" spans="1:19" s="145" customFormat="1" x14ac:dyDescent="0.3">
      <c r="A214" s="144"/>
      <c r="C214" s="55" t="s">
        <v>140</v>
      </c>
      <c r="D214" s="55"/>
      <c r="E214" s="130"/>
      <c r="F214" s="130"/>
      <c r="G214" s="131"/>
      <c r="H214" s="130">
        <f>COUNTIF(E210:E212,"*w*")</f>
        <v>0</v>
      </c>
      <c r="K214" s="148"/>
      <c r="L214" s="148"/>
      <c r="N214" s="149"/>
      <c r="O214" s="150"/>
      <c r="P214" s="150"/>
      <c r="Q214" s="151"/>
      <c r="R214" s="176"/>
      <c r="S214" s="147"/>
    </row>
    <row r="215" spans="1:19" s="145" customFormat="1" x14ac:dyDescent="0.3">
      <c r="A215" s="144"/>
      <c r="C215" s="55" t="s">
        <v>141</v>
      </c>
      <c r="D215" s="55"/>
      <c r="E215" s="130"/>
      <c r="F215" s="130"/>
      <c r="G215" s="131"/>
      <c r="H215" s="130">
        <f>COUNTIF(E210:E212,"*P*")</f>
        <v>0</v>
      </c>
      <c r="K215" s="148"/>
      <c r="L215" s="148"/>
      <c r="N215" s="149"/>
      <c r="O215" s="150"/>
      <c r="P215" s="150"/>
      <c r="Q215" s="151"/>
      <c r="R215" s="176"/>
      <c r="S215" s="147"/>
    </row>
    <row r="216" spans="1:19" s="145" customFormat="1" x14ac:dyDescent="0.3">
      <c r="A216" s="144"/>
      <c r="C216" s="55" t="s">
        <v>142</v>
      </c>
      <c r="D216" s="55"/>
      <c r="E216" s="130"/>
      <c r="F216" s="130"/>
      <c r="G216" s="131"/>
      <c r="H216" s="130">
        <f>COUNTIF(E210:E212,"*L*")</f>
        <v>0</v>
      </c>
      <c r="K216" s="148"/>
      <c r="L216" s="148"/>
      <c r="N216" s="149"/>
      <c r="O216" s="150"/>
      <c r="P216" s="150"/>
      <c r="Q216" s="151"/>
      <c r="R216" s="176"/>
      <c r="S216" s="147"/>
    </row>
    <row r="217" spans="1:19" s="145" customFormat="1" x14ac:dyDescent="0.3">
      <c r="A217" s="144"/>
      <c r="C217" s="55" t="s">
        <v>143</v>
      </c>
      <c r="D217" s="55"/>
      <c r="E217" s="130"/>
      <c r="F217" s="130"/>
      <c r="G217" s="131"/>
      <c r="H217" s="130">
        <f>COUNTIF(E210:E212,"*V*")</f>
        <v>0</v>
      </c>
      <c r="K217" s="148"/>
      <c r="L217" s="148"/>
      <c r="N217" s="149"/>
      <c r="O217" s="150"/>
      <c r="P217" s="150"/>
      <c r="Q217" s="151"/>
      <c r="R217" s="176"/>
      <c r="S217" s="147"/>
    </row>
    <row r="218" spans="1:19" s="145" customFormat="1" x14ac:dyDescent="0.3">
      <c r="A218" s="144"/>
      <c r="C218" s="55"/>
      <c r="D218" s="55"/>
      <c r="E218" s="130"/>
      <c r="F218" s="130"/>
      <c r="G218" s="131"/>
      <c r="H218" s="130"/>
      <c r="K218" s="148"/>
      <c r="L218" s="148"/>
      <c r="N218" s="149"/>
      <c r="O218" s="150"/>
      <c r="P218" s="150"/>
      <c r="Q218" s="151"/>
      <c r="R218" s="176"/>
      <c r="S218" s="147"/>
    </row>
    <row r="219" spans="1:19" s="145" customFormat="1" x14ac:dyDescent="0.3">
      <c r="A219" s="144"/>
      <c r="C219" s="55" t="s">
        <v>144</v>
      </c>
      <c r="D219" s="55"/>
      <c r="E219" s="130"/>
      <c r="F219" s="130"/>
      <c r="G219" s="131"/>
      <c r="H219" s="130">
        <f>COUNTIF(E210:E212,"*D*")</f>
        <v>0</v>
      </c>
      <c r="K219" s="148"/>
      <c r="L219" s="148"/>
      <c r="N219" s="149"/>
      <c r="O219" s="150"/>
      <c r="P219" s="150"/>
      <c r="Q219" s="151"/>
      <c r="R219" s="176"/>
      <c r="S219" s="147"/>
    </row>
    <row r="220" spans="1:19" s="145" customFormat="1" x14ac:dyDescent="0.3">
      <c r="A220" s="144"/>
      <c r="C220" s="55" t="s">
        <v>145</v>
      </c>
      <c r="D220" s="55"/>
      <c r="E220" s="130"/>
      <c r="F220" s="130"/>
      <c r="G220" s="131"/>
      <c r="H220" s="130">
        <f>COUNTIF(E210:E212,"*S*")</f>
        <v>0</v>
      </c>
      <c r="K220" s="148"/>
      <c r="L220" s="148"/>
      <c r="N220" s="149"/>
      <c r="O220" s="150"/>
      <c r="P220" s="150"/>
      <c r="Q220" s="151"/>
      <c r="R220" s="176"/>
      <c r="S220" s="147"/>
    </row>
    <row r="221" spans="1:19" s="145" customFormat="1" x14ac:dyDescent="0.3">
      <c r="A221" s="144"/>
      <c r="C221" s="55" t="s">
        <v>146</v>
      </c>
      <c r="D221" s="55"/>
      <c r="E221" s="130"/>
      <c r="F221" s="130"/>
      <c r="G221" s="131"/>
      <c r="H221" s="130">
        <f>COUNTIF(E210:E212,"*K*")</f>
        <v>0</v>
      </c>
      <c r="K221" s="148"/>
      <c r="L221" s="148"/>
      <c r="N221" s="149"/>
      <c r="O221" s="150"/>
      <c r="P221" s="150"/>
      <c r="Q221" s="151"/>
      <c r="R221" s="176"/>
      <c r="S221" s="147"/>
    </row>
    <row r="222" spans="1:19" s="145" customFormat="1" x14ac:dyDescent="0.3">
      <c r="A222" s="144"/>
      <c r="C222" s="55" t="s">
        <v>147</v>
      </c>
      <c r="D222" s="55"/>
      <c r="E222" s="130"/>
      <c r="F222" s="130"/>
      <c r="G222" s="131"/>
      <c r="H222" s="130">
        <f>COUNTIF(E210:E212,"*Z*")</f>
        <v>0</v>
      </c>
      <c r="K222" s="148"/>
      <c r="L222" s="148"/>
      <c r="N222" s="149"/>
      <c r="O222" s="150"/>
      <c r="P222" s="150"/>
      <c r="Q222" s="151"/>
      <c r="R222" s="176"/>
      <c r="S222" s="147"/>
    </row>
    <row r="223" spans="1:19" s="145" customFormat="1" x14ac:dyDescent="0.3">
      <c r="A223" s="144"/>
      <c r="C223" s="156"/>
      <c r="D223" s="156"/>
      <c r="G223" s="131"/>
      <c r="K223" s="148"/>
      <c r="L223" s="148"/>
      <c r="N223" s="149"/>
      <c r="O223" s="150"/>
      <c r="P223" s="150"/>
      <c r="Q223" s="151"/>
      <c r="R223" s="176"/>
      <c r="S223" s="147"/>
    </row>
    <row r="224" spans="1:19" s="145" customFormat="1" x14ac:dyDescent="0.3">
      <c r="A224" s="152" t="s">
        <v>188</v>
      </c>
      <c r="G224" s="131"/>
      <c r="H224" s="146"/>
      <c r="K224" s="148"/>
      <c r="L224" s="148"/>
      <c r="N224" s="149"/>
      <c r="O224" s="150"/>
      <c r="P224" s="150"/>
      <c r="Q224" s="151"/>
      <c r="R224" s="176"/>
      <c r="S224" s="147"/>
    </row>
    <row r="225" spans="1:19" s="145" customFormat="1" x14ac:dyDescent="0.3">
      <c r="A225" s="144"/>
      <c r="C225" s="156"/>
      <c r="D225" s="156"/>
      <c r="G225" s="131"/>
      <c r="K225" s="148"/>
      <c r="L225" s="148"/>
      <c r="N225" s="149"/>
      <c r="O225" s="150"/>
      <c r="P225" s="150"/>
      <c r="Q225" s="151"/>
      <c r="R225" s="176"/>
      <c r="S225" s="147"/>
    </row>
    <row r="226" spans="1:19" s="145" customFormat="1" x14ac:dyDescent="0.3">
      <c r="A226" s="144"/>
      <c r="C226" s="156"/>
      <c r="D226" s="156"/>
      <c r="G226" s="131"/>
      <c r="K226" s="148"/>
      <c r="L226" s="148"/>
      <c r="N226" s="149"/>
      <c r="O226" s="150"/>
      <c r="P226" s="150"/>
      <c r="Q226" s="151"/>
      <c r="R226" s="176"/>
      <c r="S226" s="147"/>
    </row>
    <row r="227" spans="1:19" s="145" customFormat="1" x14ac:dyDescent="0.3">
      <c r="A227" s="144"/>
      <c r="C227" s="156"/>
      <c r="D227" s="156"/>
      <c r="G227" s="131"/>
      <c r="K227" s="148"/>
      <c r="L227" s="148"/>
      <c r="N227" s="149"/>
      <c r="O227" s="150"/>
      <c r="P227" s="150"/>
      <c r="Q227" s="151"/>
      <c r="R227" s="176"/>
      <c r="S227" s="147"/>
    </row>
    <row r="228" spans="1:19" s="145" customFormat="1" x14ac:dyDescent="0.3">
      <c r="A228" s="144"/>
      <c r="C228" s="55" t="s">
        <v>139</v>
      </c>
      <c r="D228" s="55"/>
      <c r="E228" s="130"/>
      <c r="F228" s="130"/>
      <c r="G228" s="131"/>
      <c r="H228" s="130">
        <f>COUNTIF(T225:T227,"*áno*")</f>
        <v>0</v>
      </c>
      <c r="K228" s="148"/>
      <c r="L228" s="148"/>
      <c r="N228" s="149"/>
      <c r="O228" s="150"/>
      <c r="P228" s="150"/>
      <c r="Q228" s="151"/>
      <c r="R228" s="176"/>
      <c r="S228" s="147"/>
    </row>
    <row r="229" spans="1:19" s="145" customFormat="1" x14ac:dyDescent="0.3">
      <c r="A229" s="144"/>
      <c r="C229" s="55" t="s">
        <v>140</v>
      </c>
      <c r="D229" s="55"/>
      <c r="E229" s="130"/>
      <c r="F229" s="130"/>
      <c r="G229" s="131"/>
      <c r="H229" s="130">
        <f>COUNTIF(E225:E227,"*w*")</f>
        <v>0</v>
      </c>
      <c r="K229" s="148"/>
      <c r="L229" s="148"/>
      <c r="N229" s="149"/>
      <c r="O229" s="150"/>
      <c r="P229" s="150"/>
      <c r="Q229" s="151"/>
      <c r="R229" s="176"/>
      <c r="S229" s="147"/>
    </row>
    <row r="230" spans="1:19" s="145" customFormat="1" x14ac:dyDescent="0.3">
      <c r="A230" s="144"/>
      <c r="C230" s="55" t="s">
        <v>141</v>
      </c>
      <c r="D230" s="55"/>
      <c r="E230" s="130"/>
      <c r="F230" s="130"/>
      <c r="G230" s="131"/>
      <c r="H230" s="130">
        <f>COUNTIF(E225:E227,"*P*")</f>
        <v>0</v>
      </c>
      <c r="K230" s="148"/>
      <c r="L230" s="148"/>
      <c r="N230" s="149"/>
      <c r="O230" s="150"/>
      <c r="P230" s="150"/>
      <c r="Q230" s="151"/>
      <c r="R230" s="176"/>
      <c r="S230" s="147"/>
    </row>
    <row r="231" spans="1:19" s="145" customFormat="1" x14ac:dyDescent="0.3">
      <c r="A231" s="144"/>
      <c r="C231" s="55" t="s">
        <v>142</v>
      </c>
      <c r="D231" s="55"/>
      <c r="E231" s="130"/>
      <c r="F231" s="130"/>
      <c r="G231" s="131"/>
      <c r="H231" s="130">
        <f>COUNTIF(E225:E227,"*L*")</f>
        <v>0</v>
      </c>
      <c r="K231" s="148"/>
      <c r="L231" s="148"/>
      <c r="N231" s="149"/>
      <c r="O231" s="150"/>
      <c r="P231" s="150"/>
      <c r="Q231" s="151"/>
      <c r="R231" s="176"/>
      <c r="S231" s="147"/>
    </row>
    <row r="232" spans="1:19" s="145" customFormat="1" x14ac:dyDescent="0.3">
      <c r="A232" s="144"/>
      <c r="C232" s="55" t="s">
        <v>143</v>
      </c>
      <c r="D232" s="55"/>
      <c r="E232" s="130"/>
      <c r="F232" s="130"/>
      <c r="G232" s="131"/>
      <c r="H232" s="130">
        <f>COUNTIF(E225:E227,"*V*")</f>
        <v>0</v>
      </c>
      <c r="K232" s="148"/>
      <c r="L232" s="148"/>
      <c r="N232" s="149"/>
      <c r="O232" s="150"/>
      <c r="P232" s="150"/>
      <c r="Q232" s="151"/>
      <c r="R232" s="176"/>
      <c r="S232" s="147"/>
    </row>
    <row r="233" spans="1:19" s="145" customFormat="1" x14ac:dyDescent="0.3">
      <c r="A233" s="144"/>
      <c r="C233" s="55"/>
      <c r="D233" s="55"/>
      <c r="E233" s="130"/>
      <c r="F233" s="130"/>
      <c r="G233" s="131"/>
      <c r="H233" s="130"/>
      <c r="K233" s="148"/>
      <c r="L233" s="148"/>
      <c r="N233" s="149"/>
      <c r="O233" s="150"/>
      <c r="P233" s="150"/>
      <c r="Q233" s="151"/>
      <c r="R233" s="176"/>
      <c r="S233" s="147"/>
    </row>
    <row r="234" spans="1:19" s="145" customFormat="1" x14ac:dyDescent="0.3">
      <c r="A234" s="144"/>
      <c r="C234" s="55" t="s">
        <v>144</v>
      </c>
      <c r="D234" s="55"/>
      <c r="E234" s="130"/>
      <c r="F234" s="130"/>
      <c r="G234" s="131"/>
      <c r="H234" s="130">
        <f>COUNTIF(E225:E227,"*D*")</f>
        <v>0</v>
      </c>
      <c r="K234" s="148"/>
      <c r="L234" s="148"/>
      <c r="N234" s="149"/>
      <c r="O234" s="150"/>
      <c r="P234" s="150"/>
      <c r="Q234" s="151"/>
      <c r="R234" s="176"/>
      <c r="S234" s="147"/>
    </row>
    <row r="235" spans="1:19" s="145" customFormat="1" x14ac:dyDescent="0.3">
      <c r="A235" s="144"/>
      <c r="C235" s="55" t="s">
        <v>145</v>
      </c>
      <c r="D235" s="55"/>
      <c r="E235" s="130"/>
      <c r="F235" s="130"/>
      <c r="G235" s="131"/>
      <c r="H235" s="130">
        <f>COUNTIF(E225:E227,"*S*")</f>
        <v>0</v>
      </c>
      <c r="K235" s="148"/>
      <c r="L235" s="148"/>
      <c r="N235" s="149"/>
      <c r="O235" s="150"/>
      <c r="P235" s="150"/>
      <c r="Q235" s="151"/>
      <c r="R235" s="176"/>
      <c r="S235" s="147"/>
    </row>
    <row r="236" spans="1:19" s="145" customFormat="1" x14ac:dyDescent="0.3">
      <c r="A236" s="144"/>
      <c r="C236" s="55" t="s">
        <v>146</v>
      </c>
      <c r="D236" s="55"/>
      <c r="E236" s="130"/>
      <c r="F236" s="130"/>
      <c r="G236" s="131"/>
      <c r="H236" s="130">
        <f>COUNTIF(E225:E227,"*K*")</f>
        <v>0</v>
      </c>
      <c r="K236" s="148"/>
      <c r="L236" s="148"/>
      <c r="N236" s="149"/>
      <c r="O236" s="150"/>
      <c r="P236" s="150"/>
      <c r="Q236" s="151"/>
      <c r="R236" s="176"/>
      <c r="S236" s="147"/>
    </row>
    <row r="237" spans="1:19" s="145" customFormat="1" x14ac:dyDescent="0.3">
      <c r="A237" s="144"/>
      <c r="C237" s="55" t="s">
        <v>147</v>
      </c>
      <c r="D237" s="55"/>
      <c r="E237" s="130"/>
      <c r="F237" s="130"/>
      <c r="G237" s="131"/>
      <c r="H237" s="130">
        <f>COUNTIF(E225:E227,"*Z*")</f>
        <v>0</v>
      </c>
      <c r="K237" s="148"/>
      <c r="L237" s="148"/>
      <c r="N237" s="149"/>
      <c r="O237" s="150"/>
      <c r="P237" s="150"/>
      <c r="Q237" s="151"/>
      <c r="R237" s="176"/>
      <c r="S237" s="147"/>
    </row>
    <row r="238" spans="1:19" s="145" customFormat="1" x14ac:dyDescent="0.3">
      <c r="A238" s="144"/>
      <c r="C238" s="156"/>
      <c r="D238" s="156"/>
      <c r="G238" s="131"/>
      <c r="K238" s="148"/>
      <c r="L238" s="148"/>
      <c r="N238" s="149"/>
      <c r="O238" s="150"/>
      <c r="P238" s="150"/>
      <c r="Q238" s="151"/>
      <c r="R238" s="176"/>
      <c r="S238" s="147"/>
    </row>
    <row r="239" spans="1:19" s="145" customFormat="1" ht="15" thickBot="1" x14ac:dyDescent="0.35">
      <c r="A239" s="144"/>
      <c r="G239" s="131"/>
      <c r="H239" s="146"/>
      <c r="K239" s="148"/>
      <c r="L239" s="148"/>
      <c r="N239" s="149"/>
      <c r="O239" s="150"/>
      <c r="P239" s="150"/>
      <c r="Q239" s="151"/>
      <c r="R239" s="176"/>
      <c r="S239" s="147"/>
    </row>
    <row r="240" spans="1:19" s="87" customFormat="1" ht="15" thickBot="1" x14ac:dyDescent="0.35">
      <c r="A240" s="154"/>
      <c r="G240" s="161"/>
      <c r="S240" s="177"/>
    </row>
    <row r="242" spans="1:20" x14ac:dyDescent="0.3">
      <c r="A242" s="155" t="s">
        <v>77</v>
      </c>
      <c r="C242" s="55" t="s">
        <v>139</v>
      </c>
      <c r="D242" s="55"/>
      <c r="H242" s="130">
        <f>COUNTIF(T33:T239,"*áno*")</f>
        <v>38</v>
      </c>
    </row>
    <row r="243" spans="1:20" x14ac:dyDescent="0.3">
      <c r="A243" s="155"/>
      <c r="C243" s="55" t="s">
        <v>140</v>
      </c>
      <c r="D243" s="55"/>
      <c r="H243" s="130">
        <f>COUNTIF(E33:E239,"*w*")</f>
        <v>29</v>
      </c>
    </row>
    <row r="244" spans="1:20" x14ac:dyDescent="0.3">
      <c r="A244" s="155"/>
      <c r="C244" s="55" t="s">
        <v>141</v>
      </c>
      <c r="D244" s="55"/>
      <c r="H244" s="130">
        <f>COUNTIF(E33:E239,"*P*")</f>
        <v>9</v>
      </c>
    </row>
    <row r="245" spans="1:20" x14ac:dyDescent="0.3">
      <c r="A245" s="155"/>
      <c r="C245" s="55" t="s">
        <v>142</v>
      </c>
      <c r="D245" s="55"/>
      <c r="H245" s="130">
        <f>COUNTIF(E33:E239,"*L*")</f>
        <v>11</v>
      </c>
    </row>
    <row r="246" spans="1:20" x14ac:dyDescent="0.3">
      <c r="A246" s="155"/>
      <c r="C246" s="55" t="s">
        <v>143</v>
      </c>
      <c r="D246" s="55"/>
      <c r="H246" s="130">
        <f>COUNTIF(E33:E239,"*V*")</f>
        <v>18</v>
      </c>
    </row>
    <row r="247" spans="1:20" x14ac:dyDescent="0.3">
      <c r="A247" s="155"/>
      <c r="C247" s="55"/>
      <c r="D247" s="55"/>
    </row>
    <row r="248" spans="1:20" x14ac:dyDescent="0.3">
      <c r="A248" s="55"/>
      <c r="C248" s="55" t="s">
        <v>144</v>
      </c>
      <c r="D248" s="55"/>
      <c r="H248" s="130">
        <f>COUNTIF(E33:E239,"*D*")</f>
        <v>28</v>
      </c>
    </row>
    <row r="249" spans="1:20" x14ac:dyDescent="0.3">
      <c r="A249" s="55"/>
      <c r="C249" s="55" t="s">
        <v>145</v>
      </c>
      <c r="D249" s="55"/>
      <c r="H249" s="130">
        <f>COUNTIF(E33:E239,"*S*")</f>
        <v>0</v>
      </c>
    </row>
    <row r="250" spans="1:20" x14ac:dyDescent="0.3">
      <c r="A250" s="55"/>
      <c r="C250" s="55" t="s">
        <v>146</v>
      </c>
      <c r="D250" s="55"/>
      <c r="H250" s="130">
        <f>COUNTIF(E33:E239,"*K*")</f>
        <v>1</v>
      </c>
    </row>
    <row r="251" spans="1:20" x14ac:dyDescent="0.3">
      <c r="A251" s="156"/>
      <c r="C251" s="55" t="s">
        <v>147</v>
      </c>
      <c r="D251" s="55"/>
      <c r="H251" s="130">
        <f>COUNTIF(E33:E239,"*Z*")</f>
        <v>24</v>
      </c>
    </row>
    <row r="253" spans="1:20" s="157" customFormat="1" ht="15" customHeight="1" x14ac:dyDescent="0.3">
      <c r="A253" s="420" t="s">
        <v>148</v>
      </c>
      <c r="B253" s="421"/>
      <c r="C253" s="422" t="s">
        <v>48</v>
      </c>
      <c r="D253" s="423"/>
      <c r="E253" s="424"/>
      <c r="F253" s="425" t="s">
        <v>149</v>
      </c>
      <c r="G253" s="426"/>
      <c r="H253" s="427"/>
      <c r="I253" s="428" t="s">
        <v>45</v>
      </c>
      <c r="J253" s="429"/>
      <c r="K253" s="430" t="s">
        <v>46</v>
      </c>
      <c r="L253" s="431"/>
      <c r="M253" s="432" t="s">
        <v>47</v>
      </c>
      <c r="N253" s="433"/>
      <c r="O253" s="434" t="s">
        <v>150</v>
      </c>
      <c r="P253" s="435"/>
      <c r="Q253" s="446" t="s">
        <v>151</v>
      </c>
      <c r="R253" s="447"/>
      <c r="S253" s="178"/>
    </row>
    <row r="254" spans="1:20" s="155" customFormat="1" ht="15" customHeight="1" x14ac:dyDescent="0.3">
      <c r="A254" s="420" t="s">
        <v>152</v>
      </c>
      <c r="B254" s="421"/>
      <c r="C254" s="450" t="s">
        <v>153</v>
      </c>
      <c r="D254" s="451"/>
      <c r="E254" s="452"/>
      <c r="F254" s="425" t="s">
        <v>154</v>
      </c>
      <c r="G254" s="426"/>
      <c r="H254" s="427"/>
      <c r="I254" s="428" t="s">
        <v>155</v>
      </c>
      <c r="J254" s="429"/>
      <c r="K254" s="430" t="s">
        <v>156</v>
      </c>
      <c r="L254" s="431"/>
      <c r="M254" s="432" t="s">
        <v>157</v>
      </c>
      <c r="N254" s="433"/>
      <c r="O254" s="434" t="s">
        <v>158</v>
      </c>
      <c r="P254" s="435"/>
      <c r="Q254" s="446" t="s">
        <v>159</v>
      </c>
      <c r="R254" s="447"/>
      <c r="S254" s="179"/>
      <c r="T254" s="397"/>
    </row>
    <row r="255" spans="1:20" s="155" customFormat="1" x14ac:dyDescent="0.3">
      <c r="A255" s="420" t="s">
        <v>49</v>
      </c>
      <c r="B255" s="421"/>
      <c r="C255" s="110" t="s">
        <v>78</v>
      </c>
      <c r="D255" s="320"/>
      <c r="E255" s="450" t="s">
        <v>51</v>
      </c>
      <c r="F255" s="452"/>
      <c r="G255" s="379"/>
      <c r="H255" s="425" t="s">
        <v>52</v>
      </c>
      <c r="I255" s="427"/>
      <c r="J255" s="428" t="s">
        <v>53</v>
      </c>
      <c r="K255" s="429"/>
      <c r="L255" s="458" t="s">
        <v>54</v>
      </c>
      <c r="M255" s="459"/>
      <c r="N255" s="430" t="s">
        <v>55</v>
      </c>
      <c r="O255" s="431"/>
      <c r="P255" s="432" t="s">
        <v>56</v>
      </c>
      <c r="Q255" s="433"/>
      <c r="R255" s="434" t="s">
        <v>57</v>
      </c>
      <c r="S255" s="435"/>
      <c r="T255" s="398" t="s">
        <v>58</v>
      </c>
    </row>
    <row r="256" spans="1:20" s="155" customFormat="1" x14ac:dyDescent="0.3">
      <c r="A256" s="420" t="s">
        <v>50</v>
      </c>
      <c r="B256" s="421"/>
      <c r="C256" s="110" t="s">
        <v>79</v>
      </c>
      <c r="D256" s="320"/>
      <c r="E256" s="450" t="s">
        <v>59</v>
      </c>
      <c r="F256" s="452"/>
      <c r="G256" s="379"/>
      <c r="H256" s="425" t="s">
        <v>60</v>
      </c>
      <c r="I256" s="427"/>
      <c r="J256" s="428" t="s">
        <v>61</v>
      </c>
      <c r="K256" s="429"/>
      <c r="L256" s="430" t="s">
        <v>62</v>
      </c>
      <c r="M256" s="431"/>
      <c r="N256" s="432" t="s">
        <v>82</v>
      </c>
      <c r="O256" s="433"/>
      <c r="P256" s="434" t="s">
        <v>83</v>
      </c>
      <c r="Q256" s="435"/>
      <c r="R256" s="446" t="s">
        <v>81</v>
      </c>
      <c r="S256" s="447"/>
      <c r="T256" s="397"/>
    </row>
    <row r="257" spans="1:20" s="155" customFormat="1" x14ac:dyDescent="0.3">
      <c r="A257" s="420" t="s">
        <v>71</v>
      </c>
      <c r="B257" s="421"/>
      <c r="C257" s="110" t="s">
        <v>78</v>
      </c>
      <c r="D257" s="320"/>
      <c r="E257" s="450" t="s">
        <v>52</v>
      </c>
      <c r="F257" s="452"/>
      <c r="G257" s="379"/>
      <c r="H257" s="425" t="s">
        <v>53</v>
      </c>
      <c r="I257" s="427"/>
      <c r="J257" s="428" t="s">
        <v>72</v>
      </c>
      <c r="K257" s="429"/>
      <c r="L257" s="430" t="s">
        <v>73</v>
      </c>
      <c r="M257" s="431"/>
      <c r="N257" s="432" t="s">
        <v>75</v>
      </c>
      <c r="O257" s="433"/>
      <c r="P257" s="434" t="s">
        <v>74</v>
      </c>
      <c r="Q257" s="435"/>
      <c r="R257" s="446" t="s">
        <v>76</v>
      </c>
      <c r="S257" s="447"/>
      <c r="T257" s="397"/>
    </row>
    <row r="258" spans="1:20" s="155" customFormat="1" x14ac:dyDescent="0.3">
      <c r="A258" s="420" t="s">
        <v>70</v>
      </c>
      <c r="B258" s="421"/>
      <c r="C258" s="110" t="s">
        <v>80</v>
      </c>
      <c r="D258" s="320"/>
      <c r="E258" s="460" t="s">
        <v>63</v>
      </c>
      <c r="F258" s="461"/>
      <c r="G258" s="380"/>
      <c r="H258" s="450" t="s">
        <v>64</v>
      </c>
      <c r="I258" s="452"/>
      <c r="J258" s="425" t="s">
        <v>65</v>
      </c>
      <c r="K258" s="427"/>
      <c r="L258" s="428" t="s">
        <v>160</v>
      </c>
      <c r="M258" s="429"/>
      <c r="N258" s="430" t="s">
        <v>66</v>
      </c>
      <c r="O258" s="431"/>
      <c r="P258" s="432" t="s">
        <v>67</v>
      </c>
      <c r="Q258" s="433"/>
      <c r="R258" s="434" t="s">
        <v>68</v>
      </c>
      <c r="S258" s="435"/>
      <c r="T258" s="399" t="s">
        <v>69</v>
      </c>
    </row>
    <row r="259" spans="1:20" s="157" customFormat="1" ht="15" customHeight="1" x14ac:dyDescent="0.3">
      <c r="A259" s="466" t="s">
        <v>161</v>
      </c>
      <c r="B259" s="467"/>
      <c r="C259" s="158" t="s">
        <v>162</v>
      </c>
      <c r="D259" s="321"/>
      <c r="E259" s="478" t="s">
        <v>163</v>
      </c>
      <c r="F259" s="479"/>
      <c r="G259" s="381"/>
      <c r="H259" s="480" t="s">
        <v>164</v>
      </c>
      <c r="I259" s="481"/>
      <c r="J259" s="482" t="s">
        <v>165</v>
      </c>
      <c r="K259" s="483"/>
      <c r="L259" s="468" t="s">
        <v>166</v>
      </c>
      <c r="M259" s="469"/>
      <c r="N259" s="470" t="s">
        <v>167</v>
      </c>
      <c r="O259" s="471"/>
      <c r="P259" s="462" t="s">
        <v>168</v>
      </c>
      <c r="Q259" s="463"/>
      <c r="R259" s="464" t="s">
        <v>169</v>
      </c>
      <c r="S259" s="465"/>
    </row>
    <row r="260" spans="1:20" ht="15" customHeight="1" x14ac:dyDescent="0.3">
      <c r="A260" s="466" t="s">
        <v>131</v>
      </c>
      <c r="B260" s="467"/>
      <c r="C260" s="159" t="s">
        <v>170</v>
      </c>
      <c r="D260" s="394"/>
      <c r="E260" s="468" t="s">
        <v>171</v>
      </c>
      <c r="F260" s="469"/>
      <c r="G260" s="382"/>
      <c r="H260" s="470" t="s">
        <v>172</v>
      </c>
      <c r="I260" s="471"/>
      <c r="J260" s="462" t="s">
        <v>173</v>
      </c>
      <c r="K260" s="463"/>
      <c r="L260" s="464" t="s">
        <v>174</v>
      </c>
      <c r="M260" s="465"/>
      <c r="N260" s="472" t="s">
        <v>175</v>
      </c>
      <c r="O260" s="473"/>
      <c r="P260" s="474" t="s">
        <v>176</v>
      </c>
      <c r="Q260" s="475"/>
      <c r="R260" s="476" t="s">
        <v>177</v>
      </c>
      <c r="S260" s="477"/>
    </row>
  </sheetData>
  <mergeCells count="73">
    <mergeCell ref="P259:Q259"/>
    <mergeCell ref="R259:S259"/>
    <mergeCell ref="A260:B260"/>
    <mergeCell ref="E260:F260"/>
    <mergeCell ref="H260:I260"/>
    <mergeCell ref="J260:K260"/>
    <mergeCell ref="L260:M260"/>
    <mergeCell ref="N260:O260"/>
    <mergeCell ref="P260:Q260"/>
    <mergeCell ref="R260:S260"/>
    <mergeCell ref="A259:B259"/>
    <mergeCell ref="E259:F259"/>
    <mergeCell ref="H259:I259"/>
    <mergeCell ref="J259:K259"/>
    <mergeCell ref="L259:M259"/>
    <mergeCell ref="N259:O259"/>
    <mergeCell ref="P257:Q257"/>
    <mergeCell ref="R257:S257"/>
    <mergeCell ref="A258:B258"/>
    <mergeCell ref="E258:F258"/>
    <mergeCell ref="H258:I258"/>
    <mergeCell ref="J258:K258"/>
    <mergeCell ref="L258:M258"/>
    <mergeCell ref="N258:O258"/>
    <mergeCell ref="P258:Q258"/>
    <mergeCell ref="R258:S258"/>
    <mergeCell ref="A257:B257"/>
    <mergeCell ref="E257:F257"/>
    <mergeCell ref="H257:I257"/>
    <mergeCell ref="J257:K257"/>
    <mergeCell ref="L257:M257"/>
    <mergeCell ref="N257:O257"/>
    <mergeCell ref="P255:Q255"/>
    <mergeCell ref="R255:S255"/>
    <mergeCell ref="A256:B256"/>
    <mergeCell ref="E256:F256"/>
    <mergeCell ref="H256:I256"/>
    <mergeCell ref="J256:K256"/>
    <mergeCell ref="L256:M256"/>
    <mergeCell ref="N256:O256"/>
    <mergeCell ref="P256:Q256"/>
    <mergeCell ref="R256:S256"/>
    <mergeCell ref="A255:B255"/>
    <mergeCell ref="E255:F255"/>
    <mergeCell ref="H255:I255"/>
    <mergeCell ref="J255:K255"/>
    <mergeCell ref="L255:M255"/>
    <mergeCell ref="N255:O255"/>
    <mergeCell ref="M254:N254"/>
    <mergeCell ref="O254:P254"/>
    <mergeCell ref="Q254:R254"/>
    <mergeCell ref="N1:Q1"/>
    <mergeCell ref="R1:T1"/>
    <mergeCell ref="A254:B254"/>
    <mergeCell ref="C254:E254"/>
    <mergeCell ref="F254:H254"/>
    <mergeCell ref="I254:J254"/>
    <mergeCell ref="K254:L254"/>
    <mergeCell ref="U1:U2"/>
    <mergeCell ref="A253:B253"/>
    <mergeCell ref="C253:E253"/>
    <mergeCell ref="F253:H253"/>
    <mergeCell ref="I253:J253"/>
    <mergeCell ref="K253:L253"/>
    <mergeCell ref="M253:N253"/>
    <mergeCell ref="O253:P253"/>
    <mergeCell ref="A1:A2"/>
    <mergeCell ref="B1:B2"/>
    <mergeCell ref="E1:H1"/>
    <mergeCell ref="K1:M1"/>
    <mergeCell ref="I1:J1"/>
    <mergeCell ref="Q253:R253"/>
    <mergeCell ref="C1:D1"/>
  </mergeCells>
  <conditionalFormatting sqref="C242:D245 C248:D251 A242:A251 C14:D31 C171:D238">
    <cfRule type="expression" dxfId="148" priority="138">
      <formula>$A14="SUMÁCIA:"</formula>
    </cfRule>
  </conditionalFormatting>
  <conditionalFormatting sqref="A249:A251 C249:D251 C15:D31 C172:D238">
    <cfRule type="expression" dxfId="147" priority="136">
      <formula>$E15="VB"</formula>
    </cfRule>
    <cfRule type="expression" dxfId="146" priority="137">
      <formula>$A15="SUMÁCIA:"</formula>
    </cfRule>
  </conditionalFormatting>
  <conditionalFormatting sqref="K33:K239">
    <cfRule type="cellIs" dxfId="145" priority="129" operator="greaterThan">
      <formula>30</formula>
    </cfRule>
    <cfRule type="cellIs" dxfId="144" priority="130" operator="between">
      <formula>25</formula>
      <formula>30</formula>
    </cfRule>
    <cfRule type="cellIs" dxfId="143" priority="131" operator="between">
      <formula>20</formula>
      <formula>25</formula>
    </cfRule>
    <cfRule type="cellIs" dxfId="142" priority="132" operator="between">
      <formula>15</formula>
      <formula>20</formula>
    </cfRule>
    <cfRule type="cellIs" dxfId="141" priority="133" operator="between">
      <formula>10</formula>
      <formula>15</formula>
    </cfRule>
    <cfRule type="cellIs" dxfId="140" priority="134" operator="between">
      <formula>5</formula>
      <formula>10</formula>
    </cfRule>
    <cfRule type="cellIs" dxfId="139" priority="135" operator="between">
      <formula>0</formula>
      <formula>5</formula>
    </cfRule>
  </conditionalFormatting>
  <conditionalFormatting sqref="J255 H256 C254:D254 F254:G254">
    <cfRule type="cellIs" dxfId="138" priority="128" operator="lessThan">
      <formula>-20</formula>
    </cfRule>
  </conditionalFormatting>
  <conditionalFormatting sqref="L33:L239">
    <cfRule type="cellIs" dxfId="137" priority="121" operator="greaterThan">
      <formula>15</formula>
    </cfRule>
    <cfRule type="cellIs" dxfId="136" priority="122" operator="between">
      <formula>13</formula>
      <formula>15</formula>
    </cfRule>
    <cfRule type="cellIs" dxfId="135" priority="123" operator="between">
      <formula>11</formula>
      <formula>13</formula>
    </cfRule>
    <cfRule type="cellIs" dxfId="134" priority="124" operator="between">
      <formula>8</formula>
      <formula>11</formula>
    </cfRule>
    <cfRule type="cellIs" dxfId="133" priority="125" operator="between">
      <formula>5</formula>
      <formula>8</formula>
    </cfRule>
    <cfRule type="cellIs" dxfId="132" priority="126" operator="between">
      <formula>2</formula>
      <formula>5</formula>
    </cfRule>
    <cfRule type="cellIs" dxfId="131" priority="127" operator="between">
      <formula>0</formula>
      <formula>2</formula>
    </cfRule>
  </conditionalFormatting>
  <conditionalFormatting sqref="N33:N239">
    <cfRule type="cellIs" dxfId="130" priority="114" operator="greaterThan">
      <formula>150</formula>
    </cfRule>
    <cfRule type="cellIs" dxfId="129" priority="115" operator="between">
      <formula>90</formula>
      <formula>150</formula>
    </cfRule>
    <cfRule type="cellIs" dxfId="128" priority="116" operator="between">
      <formula>50</formula>
      <formula>90</formula>
    </cfRule>
    <cfRule type="cellIs" dxfId="127" priority="117" operator="between">
      <formula>30</formula>
      <formula>50</formula>
    </cfRule>
    <cfRule type="cellIs" dxfId="126" priority="118" operator="between">
      <formula>15</formula>
      <formula>30</formula>
    </cfRule>
    <cfRule type="cellIs" dxfId="125" priority="119" operator="between">
      <formula>5</formula>
      <formula>15</formula>
    </cfRule>
    <cfRule type="cellIs" dxfId="124" priority="120" operator="between">
      <formula>0</formula>
      <formula>5</formula>
    </cfRule>
  </conditionalFormatting>
  <conditionalFormatting sqref="O33:O239">
    <cfRule type="cellIs" dxfId="123" priority="106" operator="greaterThan">
      <formula>80</formula>
    </cfRule>
    <cfRule type="cellIs" dxfId="122" priority="107" operator="between">
      <formula>60</formula>
      <formula>80</formula>
    </cfRule>
    <cfRule type="cellIs" dxfId="121" priority="108" operator="between">
      <formula>45</formula>
      <formula>60</formula>
    </cfRule>
    <cfRule type="cellIs" dxfId="120" priority="109" operator="between">
      <formula>30</formula>
      <formula>45</formula>
    </cfRule>
    <cfRule type="cellIs" dxfId="119" priority="110" operator="between">
      <formula>15</formula>
      <formula>30</formula>
    </cfRule>
    <cfRule type="cellIs" dxfId="118" priority="111" operator="between">
      <formula>10</formula>
      <formula>15</formula>
    </cfRule>
    <cfRule type="cellIs" dxfId="117" priority="112" operator="between">
      <formula>5</formula>
      <formula>10</formula>
    </cfRule>
    <cfRule type="cellIs" dxfId="116" priority="113" operator="between">
      <formula>0</formula>
      <formula>5</formula>
    </cfRule>
  </conditionalFormatting>
  <conditionalFormatting sqref="P166:P239 P33:P164">
    <cfRule type="cellIs" dxfId="115" priority="99" operator="greaterThan">
      <formula>50</formula>
    </cfRule>
    <cfRule type="cellIs" dxfId="114" priority="100" operator="between">
      <formula>40</formula>
      <formula>50</formula>
    </cfRule>
    <cfRule type="cellIs" dxfId="113" priority="101" operator="between">
      <formula>30</formula>
      <formula>40</formula>
    </cfRule>
    <cfRule type="cellIs" dxfId="112" priority="102" operator="between">
      <formula>20</formula>
      <formula>30</formula>
    </cfRule>
    <cfRule type="cellIs" dxfId="111" priority="103" operator="between">
      <formula>15</formula>
      <formula>20</formula>
    </cfRule>
    <cfRule type="cellIs" dxfId="110" priority="104" operator="between">
      <formula>10</formula>
      <formula>15</formula>
    </cfRule>
    <cfRule type="cellIs" dxfId="109" priority="105" operator="between">
      <formula>5</formula>
      <formula>10</formula>
    </cfRule>
  </conditionalFormatting>
  <conditionalFormatting sqref="Q33:Q239">
    <cfRule type="cellIs" dxfId="108" priority="91" operator="greaterThan">
      <formula>30</formula>
    </cfRule>
    <cfRule type="cellIs" dxfId="107" priority="92" operator="between">
      <formula>20</formula>
      <formula>30</formula>
    </cfRule>
    <cfRule type="cellIs" dxfId="106" priority="93" operator="between">
      <formula>15</formula>
      <formula>20</formula>
    </cfRule>
    <cfRule type="cellIs" dxfId="105" priority="94" operator="between">
      <formula>10</formula>
      <formula>15</formula>
    </cfRule>
    <cfRule type="cellIs" dxfId="104" priority="95" operator="between">
      <formula>5</formula>
      <formula>10</formula>
    </cfRule>
    <cfRule type="cellIs" dxfId="103" priority="96" operator="between">
      <formula>3</formula>
      <formula>5</formula>
    </cfRule>
    <cfRule type="cellIs" dxfId="102" priority="97" operator="between">
      <formula>1</formula>
      <formula>3</formula>
    </cfRule>
    <cfRule type="cellIs" dxfId="101" priority="98" operator="between">
      <formula>0</formula>
      <formula>1</formula>
    </cfRule>
  </conditionalFormatting>
  <conditionalFormatting sqref="P164 P166:P175 N164:O175 Q164:Q175 N176:Q239 N33:Q163">
    <cfRule type="cellIs" dxfId="100" priority="90" operator="equal">
      <formula>0</formula>
    </cfRule>
  </conditionalFormatting>
  <conditionalFormatting sqref="R163:R239 R33:R158">
    <cfRule type="cellIs" dxfId="99" priority="82" operator="greaterThan">
      <formula>2500</formula>
    </cfRule>
    <cfRule type="cellIs" dxfId="98" priority="83" operator="between">
      <formula>1800</formula>
      <formula>2500</formula>
    </cfRule>
    <cfRule type="cellIs" dxfId="97" priority="84" operator="between">
      <formula>1200</formula>
      <formula>1800</formula>
    </cfRule>
    <cfRule type="cellIs" dxfId="96" priority="85" operator="between">
      <formula>700</formula>
      <formula>1200</formula>
    </cfRule>
    <cfRule type="cellIs" dxfId="95" priority="86" operator="between">
      <formula>350</formula>
      <formula>700</formula>
    </cfRule>
    <cfRule type="cellIs" dxfId="94" priority="87" operator="between">
      <formula>50</formula>
      <formula>350</formula>
    </cfRule>
    <cfRule type="cellIs" dxfId="93" priority="88" operator="between">
      <formula>10</formula>
      <formula>50</formula>
    </cfRule>
    <cfRule type="cellIs" dxfId="92" priority="89" operator="between">
      <formula>1</formula>
      <formula>10</formula>
    </cfRule>
  </conditionalFormatting>
  <conditionalFormatting sqref="C8:F31 P164 P166:P239 Q164:AA239 T159:AA162 A32:F239 H32:AA158 H159:Q162 H163:AA163 H164:O239 H8:H31 G5:G239">
    <cfRule type="containsBlanks" dxfId="91" priority="81">
      <formula>LEN(TRIM(A5))=0</formula>
    </cfRule>
  </conditionalFormatting>
  <conditionalFormatting sqref="E143:E239 Y143:Y239 U143:U239 Q143:Q239 M143:M239 H8:H239">
    <cfRule type="cellIs" dxfId="90" priority="74" operator="between">
      <formula>63</formula>
      <formula>65</formula>
    </cfRule>
    <cfRule type="cellIs" dxfId="89" priority="75" operator="between">
      <formula>60</formula>
      <formula>63</formula>
    </cfRule>
    <cfRule type="cellIs" dxfId="88" priority="76" operator="between">
      <formula>55</formula>
      <formula>60</formula>
    </cfRule>
    <cfRule type="cellIs" dxfId="87" priority="77" operator="between">
      <formula>50</formula>
      <formula>55</formula>
    </cfRule>
    <cfRule type="cellIs" dxfId="86" priority="78" operator="between">
      <formula>45</formula>
      <formula>50</formula>
    </cfRule>
    <cfRule type="cellIs" dxfId="85" priority="79" operator="between">
      <formula>40</formula>
      <formula>45</formula>
    </cfRule>
    <cfRule type="cellIs" dxfId="84" priority="80" operator="between">
      <formula>30</formula>
      <formula>40</formula>
    </cfRule>
  </conditionalFormatting>
  <conditionalFormatting sqref="C246:D247 C169:D170 C142:D143 C108:D109 C79:D80 C41:D42 C59:D60 C12:D13 C26:D27">
    <cfRule type="expression" dxfId="83" priority="73">
      <formula>#REF!="SUMÁCIA:"</formula>
    </cfRule>
  </conditionalFormatting>
  <conditionalFormatting sqref="C246:D247">
    <cfRule type="expression" dxfId="82" priority="71">
      <formula>$E246="VB"</formula>
    </cfRule>
    <cfRule type="expression" dxfId="81" priority="72">
      <formula>#REF!="SUMÁCIA:"</formula>
    </cfRule>
  </conditionalFormatting>
  <conditionalFormatting sqref="C37:D40 C43:D46">
    <cfRule type="expression" dxfId="80" priority="70">
      <formula>$A37="SUMÁCIA:"</formula>
    </cfRule>
  </conditionalFormatting>
  <conditionalFormatting sqref="C44:D46">
    <cfRule type="expression" dxfId="79" priority="68">
      <formula>$E44="VB"</formula>
    </cfRule>
    <cfRule type="expression" dxfId="78" priority="69">
      <formula>$A44="SUMÁCIA:"</formula>
    </cfRule>
  </conditionalFormatting>
  <conditionalFormatting sqref="C41:D42">
    <cfRule type="expression" dxfId="77" priority="66">
      <formula>$E41="VB"</formula>
    </cfRule>
    <cfRule type="expression" dxfId="76" priority="67">
      <formula>#REF!="SUMÁCIA:"</formula>
    </cfRule>
  </conditionalFormatting>
  <conditionalFormatting sqref="C55:D58 C61:D64">
    <cfRule type="expression" dxfId="75" priority="65">
      <formula>$A55="SUMÁCIA:"</formula>
    </cfRule>
  </conditionalFormatting>
  <conditionalFormatting sqref="C62:D64">
    <cfRule type="expression" dxfId="74" priority="63">
      <formula>$E62="VB"</formula>
    </cfRule>
    <cfRule type="expression" dxfId="73" priority="64">
      <formula>$A62="SUMÁCIA:"</formula>
    </cfRule>
  </conditionalFormatting>
  <conditionalFormatting sqref="C59:D60">
    <cfRule type="expression" dxfId="72" priority="61">
      <formula>$E59="VB"</formula>
    </cfRule>
    <cfRule type="expression" dxfId="71" priority="62">
      <formula>#REF!="SUMÁCIA:"</formula>
    </cfRule>
  </conditionalFormatting>
  <conditionalFormatting sqref="C75:D78 C81:D84">
    <cfRule type="expression" dxfId="70" priority="60">
      <formula>$A75="SUMÁCIA:"</formula>
    </cfRule>
  </conditionalFormatting>
  <conditionalFormatting sqref="C82:D84">
    <cfRule type="expression" dxfId="69" priority="58">
      <formula>$E82="VB"</formula>
    </cfRule>
    <cfRule type="expression" dxfId="68" priority="59">
      <formula>$A82="SUMÁCIA:"</formula>
    </cfRule>
  </conditionalFormatting>
  <conditionalFormatting sqref="C79:D80">
    <cfRule type="expression" dxfId="67" priority="56">
      <formula>$E79="VB"</formula>
    </cfRule>
    <cfRule type="expression" dxfId="66" priority="57">
      <formula>#REF!="SUMÁCIA:"</formula>
    </cfRule>
  </conditionalFormatting>
  <conditionalFormatting sqref="C104:D107 C110:D113">
    <cfRule type="expression" dxfId="65" priority="55">
      <formula>$A104="SUMÁCIA:"</formula>
    </cfRule>
  </conditionalFormatting>
  <conditionalFormatting sqref="C111:D113">
    <cfRule type="expression" dxfId="64" priority="53">
      <formula>$E111="VB"</formula>
    </cfRule>
    <cfRule type="expression" dxfId="63" priority="54">
      <formula>$A111="SUMÁCIA:"</formula>
    </cfRule>
  </conditionalFormatting>
  <conditionalFormatting sqref="C108:D109">
    <cfRule type="expression" dxfId="62" priority="51">
      <formula>$E108="VB"</formula>
    </cfRule>
    <cfRule type="expression" dxfId="61" priority="52">
      <formula>#REF!="SUMÁCIA:"</formula>
    </cfRule>
  </conditionalFormatting>
  <conditionalFormatting sqref="C138:D141 C144:D147">
    <cfRule type="expression" dxfId="60" priority="50">
      <formula>$A138="SUMÁCIA:"</formula>
    </cfRule>
  </conditionalFormatting>
  <conditionalFormatting sqref="C145:D147">
    <cfRule type="expression" dxfId="59" priority="48">
      <formula>$E145="VB"</formula>
    </cfRule>
    <cfRule type="expression" dxfId="58" priority="49">
      <formula>$A145="SUMÁCIA:"</formula>
    </cfRule>
  </conditionalFormatting>
  <conditionalFormatting sqref="C142:D143">
    <cfRule type="expression" dxfId="57" priority="46">
      <formula>$E142="VB"</formula>
    </cfRule>
    <cfRule type="expression" dxfId="56" priority="47">
      <formula>#REF!="SUMÁCIA:"</formula>
    </cfRule>
  </conditionalFormatting>
  <conditionalFormatting sqref="C8:D11">
    <cfRule type="expression" dxfId="55" priority="45">
      <formula>$A8="SUMÁCIA:"</formula>
    </cfRule>
  </conditionalFormatting>
  <conditionalFormatting sqref="C12:D13">
    <cfRule type="expression" dxfId="54" priority="43">
      <formula>$E12="VB"</formula>
    </cfRule>
    <cfRule type="expression" dxfId="53" priority="44">
      <formula>#REF!="SUMÁCIA:"</formula>
    </cfRule>
  </conditionalFormatting>
  <conditionalFormatting sqref="C26:D27">
    <cfRule type="expression" dxfId="52" priority="41">
      <formula>$E26="VB"</formula>
    </cfRule>
    <cfRule type="expression" dxfId="51" priority="42">
      <formula>#REF!="SUMÁCIA:"</formula>
    </cfRule>
  </conditionalFormatting>
  <conditionalFormatting sqref="H3:H239">
    <cfRule type="cellIs" dxfId="50" priority="40" operator="greaterThan">
      <formula>65</formula>
    </cfRule>
  </conditionalFormatting>
  <conditionalFormatting sqref="C165:D168">
    <cfRule type="expression" dxfId="49" priority="39">
      <formula>$A165="SUMÁCIA:"</formula>
    </cfRule>
  </conditionalFormatting>
  <conditionalFormatting sqref="C169:D170">
    <cfRule type="expression" dxfId="48" priority="37">
      <formula>$E169="VB"</formula>
    </cfRule>
    <cfRule type="expression" dxfId="47" priority="38">
      <formula>#REF!="SUMÁCIA:"</formula>
    </cfRule>
  </conditionalFormatting>
  <conditionalFormatting sqref="C187:D188 C202:D203 C217:D218">
    <cfRule type="expression" dxfId="46" priority="36">
      <formula>#REF!="SUMÁCIA:"</formula>
    </cfRule>
  </conditionalFormatting>
  <conditionalFormatting sqref="C187:D188">
    <cfRule type="expression" dxfId="45" priority="34">
      <formula>$E187="VB"</formula>
    </cfRule>
    <cfRule type="expression" dxfId="44" priority="35">
      <formula>#REF!="SUMÁCIA:"</formula>
    </cfRule>
  </conditionalFormatting>
  <conditionalFormatting sqref="C202:D203">
    <cfRule type="expression" dxfId="43" priority="32">
      <formula>$E202="VB"</formula>
    </cfRule>
    <cfRule type="expression" dxfId="42" priority="33">
      <formula>#REF!="SUMÁCIA:"</formula>
    </cfRule>
  </conditionalFormatting>
  <conditionalFormatting sqref="C217:D218">
    <cfRule type="expression" dxfId="41" priority="30">
      <formula>$E217="VB"</formula>
    </cfRule>
    <cfRule type="expression" dxfId="40" priority="31">
      <formula>#REF!="SUMÁCIA:"</formula>
    </cfRule>
  </conditionalFormatting>
  <conditionalFormatting sqref="C232:D233">
    <cfRule type="expression" dxfId="39" priority="29">
      <formula>#REF!="SUMÁCIA:"</formula>
    </cfRule>
  </conditionalFormatting>
  <conditionalFormatting sqref="C232:D233">
    <cfRule type="expression" dxfId="38" priority="27">
      <formula>$E232="VB"</formula>
    </cfRule>
    <cfRule type="expression" dxfId="37" priority="28">
      <formula>#REF!="SUMÁCIA:"</formula>
    </cfRule>
  </conditionalFormatting>
  <conditionalFormatting sqref="R160:R162">
    <cfRule type="cellIs" dxfId="36" priority="19" operator="greaterThan">
      <formula>2500</formula>
    </cfRule>
    <cfRule type="cellIs" dxfId="35" priority="20" operator="between">
      <formula>1800</formula>
      <formula>2500</formula>
    </cfRule>
    <cfRule type="cellIs" dxfId="34" priority="21" operator="between">
      <formula>1200</formula>
      <formula>1800</formula>
    </cfRule>
    <cfRule type="cellIs" dxfId="33" priority="22" operator="between">
      <formula>700</formula>
      <formula>1200</formula>
    </cfRule>
    <cfRule type="cellIs" dxfId="32" priority="23" operator="between">
      <formula>350</formula>
      <formula>700</formula>
    </cfRule>
    <cfRule type="cellIs" dxfId="31" priority="24" operator="between">
      <formula>50</formula>
      <formula>350</formula>
    </cfRule>
    <cfRule type="cellIs" dxfId="30" priority="25" operator="between">
      <formula>10</formula>
      <formula>50</formula>
    </cfRule>
    <cfRule type="cellIs" dxfId="29" priority="26" operator="between">
      <formula>1</formula>
      <formula>10</formula>
    </cfRule>
  </conditionalFormatting>
  <conditionalFormatting sqref="R160:R162">
    <cfRule type="containsBlanks" dxfId="28" priority="18">
      <formula>LEN(TRIM(R160))=0</formula>
    </cfRule>
  </conditionalFormatting>
  <conditionalFormatting sqref="R159">
    <cfRule type="cellIs" dxfId="27" priority="10" operator="greaterThan">
      <formula>2500</formula>
    </cfRule>
    <cfRule type="cellIs" dxfId="26" priority="11" operator="between">
      <formula>1800</formula>
      <formula>2500</formula>
    </cfRule>
    <cfRule type="cellIs" dxfId="25" priority="12" operator="between">
      <formula>1200</formula>
      <formula>1800</formula>
    </cfRule>
    <cfRule type="cellIs" dxfId="24" priority="13" operator="between">
      <formula>700</formula>
      <formula>1200</formula>
    </cfRule>
    <cfRule type="cellIs" dxfId="23" priority="14" operator="between">
      <formula>350</formula>
      <formula>700</formula>
    </cfRule>
    <cfRule type="cellIs" dxfId="22" priority="15" operator="between">
      <formula>50</formula>
      <formula>350</formula>
    </cfRule>
    <cfRule type="cellIs" dxfId="21" priority="16" operator="between">
      <formula>10</formula>
      <formula>50</formula>
    </cfRule>
    <cfRule type="cellIs" dxfId="20" priority="17" operator="between">
      <formula>1</formula>
      <formula>10</formula>
    </cfRule>
  </conditionalFormatting>
  <conditionalFormatting sqref="R159">
    <cfRule type="containsBlanks" dxfId="19" priority="9">
      <formula>LEN(TRIM(R159))=0</formula>
    </cfRule>
  </conditionalFormatting>
  <conditionalFormatting sqref="G5:G239">
    <cfRule type="cellIs" dxfId="18" priority="2" operator="between">
      <formula>63</formula>
      <formula>65</formula>
    </cfRule>
    <cfRule type="cellIs" dxfId="17" priority="3" operator="between">
      <formula>60</formula>
      <formula>63</formula>
    </cfRule>
    <cfRule type="cellIs" dxfId="16" priority="4" operator="between">
      <formula>55</formula>
      <formula>60</formula>
    </cfRule>
    <cfRule type="cellIs" dxfId="15" priority="5" operator="between">
      <formula>50</formula>
      <formula>55</formula>
    </cfRule>
    <cfRule type="cellIs" dxfId="14" priority="6" operator="between">
      <formula>45</formula>
      <formula>50</formula>
    </cfRule>
    <cfRule type="cellIs" dxfId="13" priority="7" operator="between">
      <formula>40</formula>
      <formula>45</formula>
    </cfRule>
    <cfRule type="cellIs" dxfId="12" priority="8" operator="between">
      <formula>30</formula>
      <formula>40</formula>
    </cfRule>
  </conditionalFormatting>
  <conditionalFormatting sqref="G5:G239">
    <cfRule type="cellIs" dxfId="11" priority="1" operator="greaterThan">
      <formula>65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6" filterMode="1"/>
  <dimension ref="A1:AG18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19" sqref="G19"/>
    </sheetView>
  </sheetViews>
  <sheetFormatPr defaultRowHeight="14.4" x14ac:dyDescent="0.3"/>
  <cols>
    <col min="1" max="1" width="12.88671875" customWidth="1"/>
    <col min="2" max="11" width="8.88671875" style="1" customWidth="1"/>
    <col min="12" max="13" width="8.88671875" style="3" customWidth="1"/>
    <col min="14" max="14" width="8.77734375" style="3" customWidth="1"/>
    <col min="15" max="15" width="8.88671875" style="2" customWidth="1"/>
    <col min="16" max="16" width="7.6640625" style="2" customWidth="1"/>
    <col min="17" max="17" width="8.88671875" style="2" customWidth="1"/>
    <col min="18" max="18" width="8.88671875" style="6" customWidth="1"/>
    <col min="19" max="21" width="10.6640625" style="6" customWidth="1"/>
    <col min="22" max="22" width="10.5546875" style="6" customWidth="1"/>
    <col min="23" max="23" width="10.5546875" style="7" customWidth="1"/>
    <col min="24" max="24" width="10" style="7" customWidth="1"/>
    <col min="25" max="25" width="10.5546875" style="7" customWidth="1"/>
    <col min="26" max="26" width="10.44140625" customWidth="1"/>
    <col min="27" max="27" width="11.44140625" style="8" customWidth="1"/>
    <col min="28" max="28" width="11.109375" style="10" customWidth="1"/>
    <col min="29" max="29" width="10.44140625" style="10" customWidth="1"/>
    <col min="30" max="30" width="10" style="12" customWidth="1"/>
    <col min="31" max="31" width="10.44140625" style="12" customWidth="1"/>
    <col min="32" max="32" width="10.5546875" customWidth="1"/>
    <col min="33" max="33" width="10" customWidth="1"/>
  </cols>
  <sheetData>
    <row r="1" spans="1:33" ht="16.2" thickBot="1" x14ac:dyDescent="0.35">
      <c r="A1" s="47" t="s">
        <v>1</v>
      </c>
      <c r="B1" s="495" t="s">
        <v>2</v>
      </c>
      <c r="C1" s="496"/>
      <c r="D1" s="496"/>
      <c r="E1" s="496"/>
      <c r="F1" s="496"/>
      <c r="G1" s="496"/>
      <c r="H1" s="496"/>
      <c r="I1" s="497"/>
      <c r="J1" s="492" t="s">
        <v>5</v>
      </c>
      <c r="K1" s="493"/>
      <c r="L1" s="494"/>
      <c r="M1" s="498" t="s">
        <v>36</v>
      </c>
      <c r="N1" s="499"/>
      <c r="O1" s="499"/>
      <c r="P1" s="499"/>
      <c r="Q1" s="499"/>
      <c r="R1" s="500"/>
      <c r="S1" s="489" t="s">
        <v>7</v>
      </c>
      <c r="T1" s="490"/>
      <c r="U1" s="491"/>
      <c r="V1" s="406" t="s">
        <v>10</v>
      </c>
      <c r="W1" s="487"/>
      <c r="X1" s="487"/>
      <c r="Y1" s="487"/>
      <c r="Z1" s="487"/>
      <c r="AA1" s="488"/>
      <c r="AB1" s="484" t="s">
        <v>14</v>
      </c>
      <c r="AC1" s="485"/>
      <c r="AD1" s="485"/>
      <c r="AE1" s="485"/>
      <c r="AF1" s="486"/>
    </row>
    <row r="2" spans="1:33" s="37" customFormat="1" ht="29.4" thickBot="1" x14ac:dyDescent="0.35">
      <c r="A2" s="88"/>
      <c r="B2" s="48" t="s">
        <v>3</v>
      </c>
      <c r="C2" s="35" t="s">
        <v>4</v>
      </c>
      <c r="D2" s="35" t="s">
        <v>202</v>
      </c>
      <c r="E2" s="35" t="s">
        <v>201</v>
      </c>
      <c r="F2" s="35" t="s">
        <v>6</v>
      </c>
      <c r="G2" s="35" t="s">
        <v>92</v>
      </c>
      <c r="H2" s="89" t="s">
        <v>118</v>
      </c>
      <c r="I2" s="90" t="s">
        <v>119</v>
      </c>
      <c r="J2" s="48" t="s">
        <v>20</v>
      </c>
      <c r="K2" s="35" t="s">
        <v>21</v>
      </c>
      <c r="L2" s="276" t="s">
        <v>88</v>
      </c>
      <c r="M2" s="105" t="s">
        <v>38</v>
      </c>
      <c r="N2" s="37" t="s">
        <v>216</v>
      </c>
      <c r="O2" s="106" t="s">
        <v>37</v>
      </c>
      <c r="P2" s="106" t="s">
        <v>87</v>
      </c>
      <c r="Q2" s="106" t="s">
        <v>120</v>
      </c>
      <c r="R2" s="107" t="s">
        <v>121</v>
      </c>
      <c r="S2" s="50" t="s">
        <v>8</v>
      </c>
      <c r="T2" s="23" t="s">
        <v>9</v>
      </c>
      <c r="U2" s="50" t="s">
        <v>89</v>
      </c>
      <c r="V2" s="4" t="s">
        <v>11</v>
      </c>
      <c r="W2" s="66" t="s">
        <v>44</v>
      </c>
      <c r="X2" s="5" t="s">
        <v>12</v>
      </c>
      <c r="Y2" s="5" t="s">
        <v>43</v>
      </c>
      <c r="Z2" s="75" t="s">
        <v>96</v>
      </c>
      <c r="AA2" s="108" t="s">
        <v>197</v>
      </c>
      <c r="AB2" s="49" t="s">
        <v>22</v>
      </c>
      <c r="AC2" s="109" t="s">
        <v>122</v>
      </c>
      <c r="AD2" s="9" t="s">
        <v>17</v>
      </c>
      <c r="AE2" s="11" t="s">
        <v>203</v>
      </c>
      <c r="AF2" s="13" t="s">
        <v>18</v>
      </c>
      <c r="AG2" s="36"/>
    </row>
    <row r="3" spans="1:33" s="242" customFormat="1" x14ac:dyDescent="0.3">
      <c r="A3" s="258" t="s">
        <v>23</v>
      </c>
      <c r="B3" s="225">
        <f>MAX('Január-December'!E3:E33)</f>
        <v>9.6</v>
      </c>
      <c r="C3" s="224">
        <f>IFERROR(MIN('Január-December'!F3:F33),"")</f>
        <v>-14.5</v>
      </c>
      <c r="D3" s="224">
        <f>MAX('Január-December'!G3:G33)</f>
        <v>16.5</v>
      </c>
      <c r="E3" s="224">
        <f>MIN('Január-December'!G3:G33)</f>
        <v>2.2000000000000002</v>
      </c>
      <c r="F3" s="224">
        <f>IFERROR(AVERAGE('Január-December'!H3:H33),"")</f>
        <v>-1.5443548387096777</v>
      </c>
      <c r="G3" s="224">
        <f>IFERROR(AVERAGE('Január-December'!I3:I33),"")</f>
        <v>-1.5077261546492806</v>
      </c>
      <c r="H3" s="224">
        <f>MAX('Január-December'!H3:H33)</f>
        <v>6.2749999999999995</v>
      </c>
      <c r="I3" s="226">
        <f>MIN('Január-December'!H3:H33)</f>
        <v>-9.375</v>
      </c>
      <c r="J3" s="225">
        <f>MAX('Január-December'!J3:J33)</f>
        <v>8.3000000000000007</v>
      </c>
      <c r="K3" s="224">
        <f>MIN('Január-December'!K3:K33)</f>
        <v>-16.2</v>
      </c>
      <c r="L3" s="226">
        <f>IFERROR(AVERAGE('Január-December'!L3:L33),"")</f>
        <v>-3.739684498671787</v>
      </c>
      <c r="M3" s="227">
        <f>MAX('Január-December'!M3:M33)</f>
        <v>99.9</v>
      </c>
      <c r="N3" s="228">
        <f>COUNTIF('Január-December'!M3:M33,"&gt;95")</f>
        <v>13</v>
      </c>
      <c r="O3" s="229">
        <f>MIN('Január-December'!N3:N33)</f>
        <v>40</v>
      </c>
      <c r="P3" s="229">
        <f>IFERROR(AVERAGE('Január-December'!O3:O33),"")</f>
        <v>85.365862498868324</v>
      </c>
      <c r="Q3" s="229">
        <f>MAX('Január-December'!O3:O33)</f>
        <v>97.281539558089804</v>
      </c>
      <c r="R3" s="230">
        <f>MIN('Január-December'!O3:O33)</f>
        <v>71.913333333333313</v>
      </c>
      <c r="S3" s="231">
        <f>MAX('Január-December'!P3:P33)</f>
        <v>1038.0147354350299</v>
      </c>
      <c r="T3" s="232">
        <f>MIN('Január-December'!Q3:Q33)</f>
        <v>996.12644079855704</v>
      </c>
      <c r="U3" s="233">
        <f>IFERROR(AVERAGE('Január-December'!R3:R33),"")</f>
        <v>1019.9063890939407</v>
      </c>
      <c r="V3" s="234">
        <f>MAX('Január-December'!S3:S33)</f>
        <v>13.30000001064</v>
      </c>
      <c r="W3" s="235">
        <f>MAX('Január-December'!T3:T33)</f>
        <v>7.9866666730559999</v>
      </c>
      <c r="X3" s="235">
        <f>IFERROR(AVERAGE('Január-December'!U3:U33),"")</f>
        <v>1.6482235190195154</v>
      </c>
      <c r="Y3" s="235">
        <f>MAX('Január-December'!U3:U33)</f>
        <v>3.3465110651620025</v>
      </c>
      <c r="Z3" s="235">
        <f>MIN('Január-December'!U3:U33)</f>
        <v>0.32949465526845767</v>
      </c>
      <c r="AA3" s="260" t="s">
        <v>215</v>
      </c>
      <c r="AB3" s="236">
        <f>MAX('Január-December'!X3:X33)</f>
        <v>18</v>
      </c>
      <c r="AC3" s="237">
        <f>MAX('Január-December'!Y3:Y33)</f>
        <v>4</v>
      </c>
      <c r="AD3" s="238">
        <f>SUM('Január-December'!Y3:Y33)</f>
        <v>16.299999999999997</v>
      </c>
      <c r="AE3" s="239">
        <f>MAX('Január-December'!Z3:Z33)</f>
        <v>4</v>
      </c>
      <c r="AF3" s="240">
        <f>MAX('Január-December'!AA3:AA33)</f>
        <v>7</v>
      </c>
      <c r="AG3" s="241"/>
    </row>
    <row r="4" spans="1:33" s="251" customFormat="1" x14ac:dyDescent="0.3">
      <c r="A4" s="259" t="s">
        <v>24</v>
      </c>
      <c r="B4" s="225">
        <f>MAX('Január-December'!E34:E61)</f>
        <v>15.7</v>
      </c>
      <c r="C4" s="224">
        <f>MIN('Január-December'!F34:F61)</f>
        <v>-9.6</v>
      </c>
      <c r="D4" s="224">
        <f>MAX('Január-December'!G34:G61)</f>
        <v>17.7</v>
      </c>
      <c r="E4" s="224">
        <f>MIN('Január-December'!G34:G61)</f>
        <v>2.9</v>
      </c>
      <c r="F4" s="224">
        <f>IFERROR(AVERAGE('Január-December'!H34:H61),"")</f>
        <v>2.3098214285714285</v>
      </c>
      <c r="G4" s="224">
        <f>IFERROR(AVERAGE('Január-December'!I34:I61),"")</f>
        <v>2.1336730911605564</v>
      </c>
      <c r="H4" s="224">
        <f>MAX('Január-December'!H34:H61)</f>
        <v>7.8</v>
      </c>
      <c r="I4" s="226">
        <f>MIN('Január-December'!H34:H61)</f>
        <v>-1.4750000000000001</v>
      </c>
      <c r="J4" s="225">
        <f>MAX('Január-December'!J34:J61)</f>
        <v>5.6</v>
      </c>
      <c r="K4" s="224">
        <f>MIN('Január-December'!K34:K61)</f>
        <v>-10.9</v>
      </c>
      <c r="L4" s="226">
        <f>IFERROR(AVERAGE('Január-December'!L34:L61),"")</f>
        <v>-0.90035605540536856</v>
      </c>
      <c r="M4" s="227">
        <f>MAX('Január-December'!M34:M61)</f>
        <v>96.9</v>
      </c>
      <c r="N4" s="228">
        <f>COUNTIF('Január-December'!M34:M61,"&gt;95")</f>
        <v>11</v>
      </c>
      <c r="O4" s="229">
        <f>MIN('Január-December'!N34:N61)</f>
        <v>29.3</v>
      </c>
      <c r="P4" s="229">
        <f>IFERROR(AVERAGE('Január-December'!O34:O61),"")</f>
        <v>81.650855716971861</v>
      </c>
      <c r="Q4" s="229">
        <f>MAX('Január-December'!O34:O61)</f>
        <v>94.741666666666688</v>
      </c>
      <c r="R4" s="230">
        <f>MIN('Január-December'!O34:O61)</f>
        <v>58.95131944444443</v>
      </c>
      <c r="S4" s="231">
        <f>MAX('Január-December'!P34:P61)</f>
        <v>1035.4839630491999</v>
      </c>
      <c r="T4" s="232">
        <f>MIN('Január-December'!Q34:Q61)</f>
        <v>993.40840184533897</v>
      </c>
      <c r="U4" s="233">
        <f>IFERROR(AVERAGE('Január-December'!R34:R61),"")</f>
        <v>1017.0994496837041</v>
      </c>
      <c r="V4" s="243">
        <f>MAX('Január-December'!S34:S61)</f>
        <v>18.700000014960001</v>
      </c>
      <c r="W4" s="244">
        <f>MAX('Január-December'!T34:T61)</f>
        <v>11.890000009511999</v>
      </c>
      <c r="X4" s="244">
        <f>IFERROR(AVERAGE('Január-December'!U34:U61),"")</f>
        <v>1.907278187672625</v>
      </c>
      <c r="Y4" s="244">
        <f>MAX('Január-December'!U34:U61)</f>
        <v>4.4516360675914761</v>
      </c>
      <c r="Z4" s="244">
        <f>MIN('Január-December'!U34:U61)</f>
        <v>0.66975399807578107</v>
      </c>
      <c r="AA4" s="261" t="s">
        <v>211</v>
      </c>
      <c r="AB4" s="245">
        <f>MAX('Január-December'!X34:X61)</f>
        <v>24</v>
      </c>
      <c r="AC4" s="246">
        <f>MAX('Január-December'!Y34:Y61)</f>
        <v>5.5</v>
      </c>
      <c r="AD4" s="247">
        <f>SUM('Január-December'!Y34:Y61)</f>
        <v>19.099999999999998</v>
      </c>
      <c r="AE4" s="248">
        <f>MAX('Január-December'!Z34:Z61)</f>
        <v>8</v>
      </c>
      <c r="AF4" s="249">
        <f>MAX('Január-December'!AA34:AA61)</f>
        <v>12</v>
      </c>
      <c r="AG4" s="250"/>
    </row>
    <row r="5" spans="1:33" s="251" customFormat="1" x14ac:dyDescent="0.3">
      <c r="A5" s="259" t="s">
        <v>25</v>
      </c>
      <c r="B5" s="225">
        <f>MAX('Január-December'!E62:E92)</f>
        <v>23.2</v>
      </c>
      <c r="C5" s="224">
        <f>MIN('Január-December'!F62:F92)</f>
        <v>-11.2</v>
      </c>
      <c r="D5" s="224">
        <f>MAX('Január-December'!G62:G92)</f>
        <v>29.2</v>
      </c>
      <c r="E5" s="224">
        <f>MIN('Január-December'!G62:G92)</f>
        <v>4.3</v>
      </c>
      <c r="F5" s="224">
        <f>IFERROR(AVERAGE('Január-December'!H62:H92),"")</f>
        <v>2.75</v>
      </c>
      <c r="G5" s="224">
        <f>IFERROR(AVERAGE('Január-December'!I62:I92),"")</f>
        <v>3.139293443593949</v>
      </c>
      <c r="H5" s="224">
        <f>MAX('Január-December'!H62:H92)</f>
        <v>10.95</v>
      </c>
      <c r="I5" s="226">
        <f>MIN('Január-December'!H62:H92)</f>
        <v>-3.85</v>
      </c>
      <c r="J5" s="225">
        <f>MAX('Január-December'!J62:J92)</f>
        <v>9.3000000000000007</v>
      </c>
      <c r="K5" s="224">
        <f>MIN('Január-December'!K62:K92)</f>
        <v>-13</v>
      </c>
      <c r="L5" s="226">
        <f>IFERROR(AVERAGE('Január-December'!L62:L92),"")</f>
        <v>-3.5195645757587668</v>
      </c>
      <c r="M5" s="227">
        <f>MAX('Január-December'!M62:M92)</f>
        <v>96.6</v>
      </c>
      <c r="N5" s="228">
        <f>COUNTIF('Január-December'!M62:M92,"&gt;95")</f>
        <v>1</v>
      </c>
      <c r="O5" s="229">
        <f>MIN('Január-December'!N62:N92)</f>
        <v>9.1</v>
      </c>
      <c r="P5" s="229">
        <f>IFERROR(AVERAGE('Január-December'!O62:O92),"")</f>
        <v>65.761930604658446</v>
      </c>
      <c r="Q5" s="229">
        <f>MAX('Január-December'!O62:O92)</f>
        <v>88.179861111111038</v>
      </c>
      <c r="R5" s="230">
        <f>MIN('Január-December'!O62:O92)</f>
        <v>40.992743105950645</v>
      </c>
      <c r="S5" s="231">
        <f>MAX('Január-December'!P62:P92)</f>
        <v>1045.8442159318699</v>
      </c>
      <c r="T5" s="232">
        <f>MIN('Január-December'!Q62:Q92)</f>
        <v>993.82183972654695</v>
      </c>
      <c r="U5" s="233">
        <f>IFERROR(AVERAGE('Január-December'!R62:R92),"")</f>
        <v>1025.7824356247686</v>
      </c>
      <c r="V5" s="243">
        <f>MAX('Január-December'!S62:S92)</f>
        <v>10.500000008400001</v>
      </c>
      <c r="W5" s="244">
        <f>MAX('Január-December'!T62:T92)</f>
        <v>7.3566666725520005</v>
      </c>
      <c r="X5" s="244">
        <f>IFERROR(AVERAGE('Január-December'!U62:U92),"")</f>
        <v>1.491537604328</v>
      </c>
      <c r="Y5" s="244">
        <f>MAX('Január-December'!U62:U92)</f>
        <v>2.6387397215110884</v>
      </c>
      <c r="Z5" s="244">
        <f>MIN('Január-December'!U62:U92)</f>
        <v>0.64225060878630258</v>
      </c>
      <c r="AA5" s="261" t="s">
        <v>213</v>
      </c>
      <c r="AB5" s="245">
        <f>MAX('Január-December'!X62:X92)</f>
        <v>18</v>
      </c>
      <c r="AC5" s="246">
        <f>MAX('Január-December'!Y62:Y92)</f>
        <v>16</v>
      </c>
      <c r="AD5" s="247">
        <f>SUM('Január-December'!Y62:Y92)</f>
        <v>38</v>
      </c>
      <c r="AE5" s="248">
        <f>MAX('Január-December'!Z62:Z92)</f>
        <v>5</v>
      </c>
      <c r="AF5" s="249">
        <f>MAX('Január-December'!AA62:AA92)</f>
        <v>5</v>
      </c>
      <c r="AG5" s="250"/>
    </row>
    <row r="6" spans="1:33" s="251" customFormat="1" ht="13.8" customHeight="1" x14ac:dyDescent="0.3">
      <c r="A6" s="259" t="s">
        <v>26</v>
      </c>
      <c r="B6" s="225">
        <f>MAX('Január-December'!E93:E122)</f>
        <v>21.9</v>
      </c>
      <c r="C6" s="224">
        <f>MIN('Január-December'!F93:F122)</f>
        <v>-5.3</v>
      </c>
      <c r="D6" s="224">
        <f>MAX('Január-December'!G93:G122)</f>
        <v>25</v>
      </c>
      <c r="E6" s="224">
        <f>MIN('Január-December'!G93:G122)</f>
        <v>4.2</v>
      </c>
      <c r="F6" s="224">
        <f>IFERROR(AVERAGE('Január-December'!H93:H122),"")</f>
        <v>7.6033333333333326</v>
      </c>
      <c r="G6" s="224">
        <f>IFERROR(AVERAGE('Január-December'!I93:I122),"")</f>
        <v>7.5818482623438666</v>
      </c>
      <c r="H6" s="224">
        <f>MAX('Január-December'!H93:H122)</f>
        <v>13.875</v>
      </c>
      <c r="I6" s="226">
        <f>MIN('Január-December'!H93:H122)</f>
        <v>0.89999999999999991</v>
      </c>
      <c r="J6" s="225">
        <f>MAX('Január-December'!J93:J122)</f>
        <v>14</v>
      </c>
      <c r="K6" s="224">
        <f>MIN('Január-December'!K93:K122)</f>
        <v>-6.9</v>
      </c>
      <c r="L6" s="226">
        <f>IFERROR(AVERAGE('Január-December'!L93:L122),"")</f>
        <v>2.8121760097873891</v>
      </c>
      <c r="M6" s="227">
        <f>MAX('Január-December'!M93:M122)</f>
        <v>98</v>
      </c>
      <c r="N6" s="228">
        <f>COUNTIF('Január-December'!M93:M122,"&gt;95")</f>
        <v>9</v>
      </c>
      <c r="O6" s="229">
        <f>MIN('Január-December'!N93:N122)</f>
        <v>20.7</v>
      </c>
      <c r="P6" s="229">
        <f>IFERROR(AVERAGE('Január-December'!O93:O122),"")</f>
        <v>74.451548913890733</v>
      </c>
      <c r="Q6" s="229">
        <f>MAX('Január-December'!O93:O122)</f>
        <v>94.488749999999612</v>
      </c>
      <c r="R6" s="230">
        <f>MIN('Január-December'!O93:O122)</f>
        <v>59.395902777777884</v>
      </c>
      <c r="S6" s="231">
        <f>MAX('Január-December'!P93:P122)</f>
        <v>1027.2541552954599</v>
      </c>
      <c r="T6" s="232">
        <f>MIN('Január-December'!Q93:Q122)</f>
        <v>992.73766832902402</v>
      </c>
      <c r="U6" s="233">
        <f>IFERROR(AVERAGE('Január-December'!R93:R122),"")</f>
        <v>1012.2893077931247</v>
      </c>
      <c r="V6" s="243">
        <f>MAX('Január-December'!S93:S122)</f>
        <v>12.900000010319999</v>
      </c>
      <c r="W6" s="244">
        <f>MAX('Január-December'!T93:T122)</f>
        <v>8.6900000069520011</v>
      </c>
      <c r="X6" s="244">
        <f>IFERROR(AVERAGE('Január-December'!U93:U122),"")</f>
        <v>1.9252272128388566</v>
      </c>
      <c r="Y6" s="244">
        <f>MAX('Január-December'!U93:U122)</f>
        <v>3.4521454573071964</v>
      </c>
      <c r="Z6" s="244">
        <f>MIN('Január-December'!U93:U122)</f>
        <v>0.83151647353342872</v>
      </c>
      <c r="AA6" s="261" t="s">
        <v>215</v>
      </c>
      <c r="AB6" s="245">
        <f>MAX('Január-December'!X93:X122)</f>
        <v>48</v>
      </c>
      <c r="AC6" s="246">
        <f>MAX('Január-December'!Y93:Y122)</f>
        <v>10.1</v>
      </c>
      <c r="AD6" s="247">
        <f>SUM('Január-December'!Y93:Y122)</f>
        <v>32.500000000000007</v>
      </c>
      <c r="AE6" s="248">
        <f>MAX('Január-December'!Z93:Z122)</f>
        <v>0.3</v>
      </c>
      <c r="AF6" s="249">
        <f>MAX('Január-December'!AA93:AA122)</f>
        <v>0.3</v>
      </c>
      <c r="AG6" s="250"/>
    </row>
    <row r="7" spans="1:33" s="251" customFormat="1" x14ac:dyDescent="0.3">
      <c r="A7" s="259" t="s">
        <v>27</v>
      </c>
      <c r="B7" s="225">
        <f>MAX('Január-December'!E123:E153)</f>
        <v>29.1</v>
      </c>
      <c r="C7" s="224">
        <f>MIN('Január-December'!F123:F153)</f>
        <v>-0.8</v>
      </c>
      <c r="D7" s="224">
        <f>MAX('Január-December'!G123:G153)</f>
        <v>27</v>
      </c>
      <c r="E7" s="224">
        <f>MIN('Január-December'!G123:G153)</f>
        <v>13.200000000000001</v>
      </c>
      <c r="F7" s="224">
        <f>IFERROR(AVERAGE('Január-December'!H123:H153),"")</f>
        <v>14.813709677419356</v>
      </c>
      <c r="G7" s="224">
        <f>IFERROR(AVERAGE('Január-December'!I123:I153),"")</f>
        <v>14.815999545156751</v>
      </c>
      <c r="H7" s="224">
        <f>MAX('Január-December'!H123:H153)</f>
        <v>18.975000000000001</v>
      </c>
      <c r="I7" s="226">
        <f>MIN('Január-December'!H123:H153)</f>
        <v>11.774999999999999</v>
      </c>
      <c r="J7" s="225">
        <f>MAX('Január-December'!J123:J153)</f>
        <v>19.3</v>
      </c>
      <c r="K7" s="224">
        <f>MIN('Január-December'!K123:K153)</f>
        <v>-2</v>
      </c>
      <c r="L7" s="226">
        <f>IFERROR(AVERAGE('Január-December'!L123:L153),"")</f>
        <v>9.3048130273482386</v>
      </c>
      <c r="M7" s="227">
        <f>MAX('Január-December'!M123:M153)</f>
        <v>97.9</v>
      </c>
      <c r="N7" s="228">
        <f>COUNTIF('Január-December'!M123:M153,"&gt;95")</f>
        <v>18</v>
      </c>
      <c r="O7" s="229">
        <f>MIN('Január-December'!N123:N153)</f>
        <v>31</v>
      </c>
      <c r="P7" s="229">
        <f>IFERROR(AVERAGE('Január-December'!O123:O153),"")</f>
        <v>72.617185260124572</v>
      </c>
      <c r="Q7" s="229">
        <f>MAX('Január-December'!O123:O153)</f>
        <v>85.612430555555804</v>
      </c>
      <c r="R7" s="230">
        <f>MIN('Január-December'!O123:O153)</f>
        <v>56.853611111111007</v>
      </c>
      <c r="S7" s="231">
        <f>MAX('Január-December'!P123:P153)</f>
        <v>1030.4563185239799</v>
      </c>
      <c r="T7" s="232">
        <f>MIN('Január-December'!Q123:Q153)</f>
        <v>1007.46034781371</v>
      </c>
      <c r="U7" s="233">
        <f>IFERROR(AVERAGE('Január-December'!R123:R153),"")</f>
        <v>1017.0986190453224</v>
      </c>
      <c r="V7" s="243">
        <f>MAX('Január-December'!S123:S153)</f>
        <v>11.20000000896</v>
      </c>
      <c r="W7" s="244">
        <f>MAX('Január-December'!T123:T153)</f>
        <v>7.5833333394000011</v>
      </c>
      <c r="X7" s="244">
        <f>IFERROR(AVERAGE('Január-December'!U123:U153),"")</f>
        <v>1.3797057914779072</v>
      </c>
      <c r="Y7" s="244">
        <f>MAX('Január-December'!U123:U153)</f>
        <v>2.3048656518075821</v>
      </c>
      <c r="Z7" s="244">
        <f>MIN('Január-December'!U123:U153)</f>
        <v>0.78585088419198157</v>
      </c>
      <c r="AA7" s="261" t="s">
        <v>213</v>
      </c>
      <c r="AB7" s="245">
        <f>MAX('Január-December'!X123:X153)</f>
        <v>108</v>
      </c>
      <c r="AC7" s="246">
        <f>MAX('Január-December'!Y123:Y153)</f>
        <v>20</v>
      </c>
      <c r="AD7" s="247">
        <f>SUM('Január-December'!Y123:Y153)</f>
        <v>46.2</v>
      </c>
      <c r="AE7" s="248">
        <f>MAX('Január-December'!Z123:Z153)</f>
        <v>0</v>
      </c>
      <c r="AF7" s="249">
        <f>MAX('Január-December'!AA123:AA153)</f>
        <v>0</v>
      </c>
      <c r="AG7" s="250"/>
    </row>
    <row r="8" spans="1:33" s="251" customFormat="1" x14ac:dyDescent="0.3">
      <c r="A8" s="259" t="s">
        <v>28</v>
      </c>
      <c r="B8" s="252">
        <f>MAX('Január-December'!E154:E183)</f>
        <v>37.9</v>
      </c>
      <c r="C8" s="224">
        <f>MIN('Január-December'!F154:F183)</f>
        <v>5.6</v>
      </c>
      <c r="D8" s="224">
        <f>MAX('Január-December'!G154:G183)</f>
        <v>23.4</v>
      </c>
      <c r="E8" s="224">
        <f>MIN('Január-December'!G154:G183)</f>
        <v>12.600000000000001</v>
      </c>
      <c r="F8" s="224">
        <f>IFERROR(AVERAGE('Január-December'!H154:H183),"")</f>
        <v>20.439166666666669</v>
      </c>
      <c r="G8" s="224">
        <f>IFERROR(AVERAGE('Január-December'!I154:I183),"")</f>
        <v>20.28341307111317</v>
      </c>
      <c r="H8" s="224">
        <f>MAX('Január-December'!H154:H183)</f>
        <v>27.475000000000001</v>
      </c>
      <c r="I8" s="253">
        <f>MIN('Január-December'!H154:H183)</f>
        <v>16.350000000000001</v>
      </c>
      <c r="J8" s="225">
        <f>MAX('Január-December'!J154:J183)</f>
        <v>23.9</v>
      </c>
      <c r="K8" s="224">
        <f>MIN('Január-December'!K154:K183)</f>
        <v>4.8</v>
      </c>
      <c r="L8" s="226">
        <f>IFERROR(AVERAGE('Január-December'!L154:L183),"")</f>
        <v>13.858812334399589</v>
      </c>
      <c r="M8" s="227">
        <f>MAX('Január-December'!M154:M183)</f>
        <v>97.6</v>
      </c>
      <c r="N8" s="228">
        <f>COUNTIF('Január-December'!M154:M183,"&gt;95")</f>
        <v>21</v>
      </c>
      <c r="O8" s="229">
        <f>MIN('Január-December'!N154:N183)</f>
        <v>27.7</v>
      </c>
      <c r="P8" s="229">
        <f>IFERROR(AVERAGE('Január-December'!O154:O183),"")</f>
        <v>70.368843223699372</v>
      </c>
      <c r="Q8" s="229">
        <f>MAX('Január-December'!O154:O183)</f>
        <v>88.71562499999996</v>
      </c>
      <c r="R8" s="230">
        <f>MIN('Január-December'!O154:O183)</f>
        <v>60.605972222222228</v>
      </c>
      <c r="S8" s="254">
        <f>MAX('Január-December'!P154:P183)</f>
        <v>1023.63344872008</v>
      </c>
      <c r="T8" s="232">
        <f>MIN('Január-December'!Q154:Q183)</f>
        <v>1005.4812397355799</v>
      </c>
      <c r="U8" s="255">
        <f>IFERROR(AVERAGE('Január-December'!R154:R183),"")</f>
        <v>1015.4921107148132</v>
      </c>
      <c r="V8" s="243">
        <f>MAX('Január-December'!S154:S183)</f>
        <v>11.20000000896</v>
      </c>
      <c r="W8" s="244">
        <f>MAX('Január-December'!T154:T183)</f>
        <v>7.2666666724800013</v>
      </c>
      <c r="X8" s="244">
        <f>IFERROR(AVERAGE('Január-December'!U154:U183),"")</f>
        <v>1.5073191216372084</v>
      </c>
      <c r="Y8" s="244">
        <f>MAX('Január-December'!U154:U183)</f>
        <v>2.8755995226841584</v>
      </c>
      <c r="Z8" s="244">
        <f>MIN('Január-December'!U154:U183)</f>
        <v>0.63450909141669531</v>
      </c>
      <c r="AA8" s="261" t="s">
        <v>213</v>
      </c>
      <c r="AB8" s="245">
        <f>MAX('Január-December'!X154:X183)</f>
        <v>108</v>
      </c>
      <c r="AC8" s="246">
        <f>MAX('Január-December'!Y154:Y183)</f>
        <v>11.1</v>
      </c>
      <c r="AD8" s="247">
        <f>SUM('Január-December'!Y154:Y183)</f>
        <v>24.3</v>
      </c>
      <c r="AE8" s="248">
        <f>MAX('Január-December'!Z154:Z183)</f>
        <v>0</v>
      </c>
      <c r="AF8" s="249">
        <f>MAX('Január-December'!AA154:AA183)</f>
        <v>0</v>
      </c>
      <c r="AG8" s="250"/>
    </row>
    <row r="9" spans="1:33" s="251" customFormat="1" x14ac:dyDescent="0.3">
      <c r="A9" s="259" t="s">
        <v>29</v>
      </c>
      <c r="B9" s="252">
        <f>MAX('Január-December'!E184:E214)</f>
        <v>38.1</v>
      </c>
      <c r="C9" s="224">
        <f>MIN('Január-December'!F184:F214)</f>
        <v>5.8</v>
      </c>
      <c r="D9" s="224">
        <f>MAX('Január-December'!G184:G214)</f>
        <v>25.700000000000003</v>
      </c>
      <c r="E9" s="224">
        <f>MIN('Január-December'!G184:G214)</f>
        <v>5.1999999999999993</v>
      </c>
      <c r="F9" s="224">
        <f>IFERROR(AVERAGE('Január-December'!H184:H214),"")</f>
        <v>20.836290322580648</v>
      </c>
      <c r="G9" s="224">
        <f>IFERROR(AVERAGE('Január-December'!I184:I214),"")</f>
        <v>20.855447317718706</v>
      </c>
      <c r="H9" s="224">
        <f>MAX('Január-December'!H184:H214)</f>
        <v>28.475000000000001</v>
      </c>
      <c r="I9" s="253">
        <f>MIN('Január-December'!H184:H214)</f>
        <v>14.574999999999999</v>
      </c>
      <c r="J9" s="225">
        <f>MAX('Január-December'!J184:J214)</f>
        <v>22.4</v>
      </c>
      <c r="K9" s="224">
        <f>MIN('Január-December'!K184:K214)</f>
        <v>4.8</v>
      </c>
      <c r="L9" s="226">
        <f>IFERROR(AVERAGE('Január-December'!L184:L214),"")</f>
        <v>14.610464712164704</v>
      </c>
      <c r="M9" s="227">
        <f>MAX('Január-December'!M184:M214)</f>
        <v>97.8</v>
      </c>
      <c r="N9" s="228">
        <f>COUNTIF('Január-December'!M184:M214,"&gt;95")</f>
        <v>18</v>
      </c>
      <c r="O9" s="229">
        <f>MIN('Január-December'!N184:N214)</f>
        <v>26.5</v>
      </c>
      <c r="P9" s="229">
        <f>IFERROR(AVERAGE('Január-December'!O184:O214),"")</f>
        <v>71.486871119673495</v>
      </c>
      <c r="Q9" s="229">
        <f>MAX('Január-December'!O184:O214)</f>
        <v>92.20513888888901</v>
      </c>
      <c r="R9" s="230">
        <f>MIN('Január-December'!O184:O214)</f>
        <v>53.730261348005477</v>
      </c>
      <c r="S9" s="254">
        <f>MAX('Január-December'!P184:P214)</f>
        <v>1027.32846893693</v>
      </c>
      <c r="T9" s="232">
        <f>MIN('Január-December'!Q184:Q214)</f>
        <v>1007.7986743272299</v>
      </c>
      <c r="U9" s="255">
        <f>IFERROR(AVERAGE('Január-December'!R184:R214),"")</f>
        <v>1016.6796677378741</v>
      </c>
      <c r="V9" s="243">
        <f>MAX('Január-December'!S184:S214)</f>
        <v>11.20000000896</v>
      </c>
      <c r="W9" s="244">
        <f>MAX('Január-December'!T184:T214)</f>
        <v>6.8233333387919997</v>
      </c>
      <c r="X9" s="244">
        <f>IFERROR(AVERAGE('Január-December'!U184:U214),"")</f>
        <v>1.414949959286274</v>
      </c>
      <c r="Y9" s="244">
        <f>MAX('Január-December'!U184:U214)</f>
        <v>2.1034922945536962</v>
      </c>
      <c r="Z9" s="244">
        <f>MIN('Január-December'!U184:U214)</f>
        <v>0.80411224060458464</v>
      </c>
      <c r="AA9" s="261" t="s">
        <v>213</v>
      </c>
      <c r="AB9" s="245">
        <f>MAX('Január-December'!X184:X214)</f>
        <v>150</v>
      </c>
      <c r="AC9" s="246">
        <f>MAX('Január-December'!Y184:Y214)</f>
        <v>22.4</v>
      </c>
      <c r="AD9" s="247">
        <f>SUM('Január-December'!Y184:Y214)</f>
        <v>118.79999999999998</v>
      </c>
      <c r="AE9" s="248">
        <f>MAX('Január-December'!Z184:Z214)</f>
        <v>0</v>
      </c>
      <c r="AF9" s="249">
        <f>MAX('Január-December'!AA184:AA214)</f>
        <v>0</v>
      </c>
      <c r="AG9" s="250"/>
    </row>
    <row r="10" spans="1:33" s="251" customFormat="1" x14ac:dyDescent="0.3">
      <c r="A10" s="259" t="s">
        <v>30</v>
      </c>
      <c r="B10" s="252">
        <f>MAX('Január-December'!E215:E245)</f>
        <v>35.4</v>
      </c>
      <c r="C10" s="224">
        <f>MIN('Január-December'!F215:F245)</f>
        <v>8.1999999999999993</v>
      </c>
      <c r="D10" s="224">
        <f>MAX('Január-December'!G215:G245)</f>
        <v>23</v>
      </c>
      <c r="E10" s="224">
        <f>MIN('Január-December'!G215:G245)</f>
        <v>10.899999999999999</v>
      </c>
      <c r="F10" s="224">
        <f>IFERROR(AVERAGE('Január-December'!H215:H245),"")</f>
        <v>20.904032258064515</v>
      </c>
      <c r="G10" s="224">
        <f>IFERROR(AVERAGE('Január-December'!I215:I245),"")</f>
        <v>21.171339972120645</v>
      </c>
      <c r="H10" s="224">
        <f>MAX('Január-December'!H215:H245)</f>
        <v>24.574999999999999</v>
      </c>
      <c r="I10" s="253">
        <f>MIN('Január-December'!H215:H245)</f>
        <v>17.274999999999999</v>
      </c>
      <c r="J10" s="225">
        <f>MAX('Január-December'!J215:J245)</f>
        <v>23.8</v>
      </c>
      <c r="K10" s="224">
        <f>MIN('Január-December'!K215:K245)</f>
        <v>7.3</v>
      </c>
      <c r="L10" s="226">
        <f>IFERROR(AVERAGE('Január-December'!L215:L245),"")</f>
        <v>16.328775588789505</v>
      </c>
      <c r="M10" s="227">
        <f>MAX('Január-December'!M215:M245)</f>
        <v>97.8</v>
      </c>
      <c r="N10" s="228">
        <f>COUNTIF('Január-December'!M215:M245,"&gt;95")</f>
        <v>28</v>
      </c>
      <c r="O10" s="229">
        <f>MIN('Január-December'!N215:N245)</f>
        <v>28.3</v>
      </c>
      <c r="P10" s="229">
        <f>IFERROR(AVERAGE('Január-December'!O215:O245),"")</f>
        <v>76.487584395574245</v>
      </c>
      <c r="Q10" s="229">
        <f>MAX('Január-December'!O215:O245)</f>
        <v>86.776736111111106</v>
      </c>
      <c r="R10" s="230">
        <f>MIN('Január-December'!O215:O245)</f>
        <v>64.16361111111118</v>
      </c>
      <c r="S10" s="254">
        <f>MAX('Január-December'!P215:P245)</f>
        <v>1025.04143469938</v>
      </c>
      <c r="T10" s="232">
        <f>MIN('Január-December'!Q215:Q245)</f>
        <v>1005.00535386652</v>
      </c>
      <c r="U10" s="255">
        <f>IFERROR(AVERAGE('Január-December'!R215:R245),"")</f>
        <v>1014.68227856893</v>
      </c>
      <c r="V10" s="243">
        <f>MAX('Január-December'!S215:S245)</f>
        <v>13.600000010880001</v>
      </c>
      <c r="W10" s="244">
        <f>MAX('Január-December'!T215:T245)</f>
        <v>8.1216666731640004</v>
      </c>
      <c r="X10" s="244">
        <f>IFERROR(AVERAGE('Január-December'!U215:U245),"")</f>
        <v>1.3233152818893299</v>
      </c>
      <c r="Y10" s="244">
        <f>MAX('Január-December'!U215:U245)</f>
        <v>2.6971780050520966</v>
      </c>
      <c r="Z10" s="244">
        <f>MIN('Január-December'!U215:U245)</f>
        <v>0.73940821315190908</v>
      </c>
      <c r="AA10" s="261" t="s">
        <v>213</v>
      </c>
      <c r="AB10" s="245">
        <f>MAX('Január-December'!X215:X245)</f>
        <v>114</v>
      </c>
      <c r="AC10" s="246">
        <f>MAX('Január-December'!Y215:Y245)</f>
        <v>18.8</v>
      </c>
      <c r="AD10" s="247">
        <f>SUM('Január-December'!Y215:Y245)</f>
        <v>29.7</v>
      </c>
      <c r="AE10" s="248">
        <f>MAX('Január-December'!Z215:Z245)</f>
        <v>0</v>
      </c>
      <c r="AF10" s="249">
        <f>MAX('Január-December'!AA215:AA245)</f>
        <v>0</v>
      </c>
      <c r="AG10" s="250"/>
    </row>
    <row r="11" spans="1:33" s="251" customFormat="1" x14ac:dyDescent="0.3">
      <c r="A11" s="259" t="s">
        <v>31</v>
      </c>
      <c r="B11" s="252">
        <f>MAX('Január-December'!E246:E275)</f>
        <v>27.8</v>
      </c>
      <c r="C11" s="224">
        <f>MIN('Január-December'!F246:F275)</f>
        <v>3.5</v>
      </c>
      <c r="D11" s="224">
        <f>MAX('Január-December'!G246:G275)</f>
        <v>19.5</v>
      </c>
      <c r="E11" s="224">
        <f>MIN('Január-December'!G246:G275)</f>
        <v>2.8000000000000007</v>
      </c>
      <c r="F11" s="224">
        <f>IFERROR(AVERAGE('Január-December'!H246:H275),"")</f>
        <v>13.334166666666665</v>
      </c>
      <c r="G11" s="224">
        <f>IFERROR(AVERAGE('Január-December'!I246:I275),"")</f>
        <v>13.546043517756759</v>
      </c>
      <c r="H11" s="224">
        <f>MAX('Január-December'!H246:H275)</f>
        <v>20.100000000000001</v>
      </c>
      <c r="I11" s="256">
        <f>MIN('Január-December'!H246:H275)</f>
        <v>8</v>
      </c>
      <c r="J11" s="225">
        <f>MAX('Január-December'!J246:J275)</f>
        <v>20.100000000000001</v>
      </c>
      <c r="K11" s="224">
        <f>MIN('Január-December'!K246:K275)</f>
        <v>2.4</v>
      </c>
      <c r="L11" s="226">
        <f>IFERROR(AVERAGE('Január-December'!L246:L275),"")</f>
        <v>10.605915320246197</v>
      </c>
      <c r="M11" s="227">
        <f>MAX('Január-December'!M246:M275)</f>
        <v>98.4</v>
      </c>
      <c r="N11" s="228">
        <f>COUNTIF('Január-December'!M246:M275,"&gt;95")</f>
        <v>25</v>
      </c>
      <c r="O11" s="229">
        <f>MIN('Január-December'!N246:N275)</f>
        <v>34.5</v>
      </c>
      <c r="P11" s="229">
        <f>IFERROR(AVERAGE('Január-December'!O246:O275),"")</f>
        <v>84.144094114219129</v>
      </c>
      <c r="Q11" s="229">
        <f>MAX('Január-December'!O246:O275)</f>
        <v>96.379097222222342</v>
      </c>
      <c r="R11" s="229">
        <f>MIN('Január-December'!O246:O275)</f>
        <v>64.384999999999934</v>
      </c>
      <c r="S11" s="254">
        <f>MAX('Január-December'!P246:P275)</f>
        <v>1025.4101805846401</v>
      </c>
      <c r="T11" s="232">
        <f>MIN('Január-December'!Q246:Q275)</f>
        <v>998.17973755947696</v>
      </c>
      <c r="U11" s="255">
        <f>IFERROR(AVERAGE('Január-December'!R246:R275),"")</f>
        <v>1012.3554241796411</v>
      </c>
      <c r="V11" s="243">
        <f>MAX('Január-December'!S246:S275)</f>
        <v>12.20000000976</v>
      </c>
      <c r="W11" s="257">
        <f>MAX('Január-December'!T246:T275)</f>
        <v>6.9933333389279992</v>
      </c>
      <c r="X11" s="257">
        <f>IFERROR(AVERAGE('Január-December'!U246:U275),"")</f>
        <v>1.1307107819224529</v>
      </c>
      <c r="Y11" s="257">
        <f>MAX('Január-December'!U246:U275)</f>
        <v>2.3447108085728727</v>
      </c>
      <c r="Z11" s="257">
        <f>MIN('Január-December'!U246:U275)</f>
        <v>0.53210323245655133</v>
      </c>
      <c r="AA11" s="261" t="s">
        <v>213</v>
      </c>
      <c r="AB11" s="245">
        <f>MAX('Január-December'!X246:X275)</f>
        <v>60</v>
      </c>
      <c r="AC11" s="246">
        <f>MAX('Január-December'!Y246:Y275)</f>
        <v>17.8</v>
      </c>
      <c r="AD11" s="247">
        <f>SUM('Január-December'!Y246:Y275)</f>
        <v>153</v>
      </c>
      <c r="AE11" s="248">
        <f>MAX('Január-December'!Z246:Z275)</f>
        <v>0</v>
      </c>
      <c r="AF11" s="249">
        <f>MAX('Január-December'!AA276:AA306)</f>
        <v>0</v>
      </c>
      <c r="AG11" s="250"/>
    </row>
    <row r="12" spans="1:33" s="251" customFormat="1" x14ac:dyDescent="0.3">
      <c r="A12" s="259" t="s">
        <v>32</v>
      </c>
      <c r="B12" s="252">
        <f>MAX('Január-December'!E276:E306)</f>
        <v>21.4</v>
      </c>
      <c r="C12" s="224">
        <f>MIN('Január-December'!F276:F306)</f>
        <v>-2.4</v>
      </c>
      <c r="D12" s="224">
        <f>MAX('Január-December'!G276:G306)</f>
        <v>19.600000000000001</v>
      </c>
      <c r="E12" s="224">
        <f>MIN('Január-December'!G276:G306)</f>
        <v>1.8000000000000007</v>
      </c>
      <c r="F12" s="224">
        <f>IFERROR(AVERAGE('Január-December'!H276:H306),"")</f>
        <v>10.337096774193551</v>
      </c>
      <c r="G12" s="224">
        <f>IFERROR(AVERAGE('Január-December'!I276:I306),"")</f>
        <v>10.575324119613514</v>
      </c>
      <c r="H12" s="224">
        <f>MAX('Január-December'!H276:H306)</f>
        <v>13.6</v>
      </c>
      <c r="I12" s="256">
        <f>MIN('Január-December'!H276:H306)</f>
        <v>4.05</v>
      </c>
      <c r="J12" s="225">
        <f>MAX('Január-December'!J276:J306)</f>
        <v>15.8</v>
      </c>
      <c r="K12" s="224">
        <f>MIN('Január-December'!K276:K306)</f>
        <v>-3.4</v>
      </c>
      <c r="L12" s="226">
        <f>IFERROR(AVERAGE('Január-December'!L276:L306),"")</f>
        <v>8.4914045750069693</v>
      </c>
      <c r="M12" s="227">
        <f>MAX('Január-December'!M276:M306)</f>
        <v>99.7</v>
      </c>
      <c r="N12" s="228">
        <f>COUNTIF('Január-December'!M276:M306,"&gt;95")</f>
        <v>30</v>
      </c>
      <c r="O12" s="229">
        <f>MIN('Január-December'!N276:N306)</f>
        <v>50</v>
      </c>
      <c r="P12" s="229">
        <f>IFERROR(AVERAGE('Január-December'!O276:O306),"")</f>
        <v>87.881371595446993</v>
      </c>
      <c r="Q12" s="229">
        <f>MAX('Január-December'!O276:O306)</f>
        <v>96.656992269852438</v>
      </c>
      <c r="R12" s="229">
        <f>MIN('Január-December'!O276:O306)</f>
        <v>77.027708333333351</v>
      </c>
      <c r="S12" s="254">
        <f>MAX('Január-December'!P276:P306)</f>
        <v>1032.46344798421</v>
      </c>
      <c r="T12" s="232">
        <f>MIN('Január-December'!Q276:Q306)</f>
        <v>1006.5376071796099</v>
      </c>
      <c r="U12" s="255">
        <f>IFERROR(AVERAGE('Január-December'!R276:R306),"")</f>
        <v>1022.025195212384</v>
      </c>
      <c r="V12" s="243">
        <f>MAX('Január-December'!S276:S306)</f>
        <v>11.20000000896</v>
      </c>
      <c r="W12" s="257">
        <f>MAX('Január-December'!T276:T306)</f>
        <v>6.7566666720720008</v>
      </c>
      <c r="X12" s="257">
        <f>IFERROR(AVERAGE('Január-December'!U276:U306),"")</f>
        <v>0.9478524134599513</v>
      </c>
      <c r="Y12" s="257">
        <f>MAX('Január-December'!U276:U306)</f>
        <v>2.2320325814111848</v>
      </c>
      <c r="Z12" s="257">
        <f>MIN('Január-December'!U276:U306)</f>
        <v>0.32533188536767776</v>
      </c>
      <c r="AA12" s="261" t="s">
        <v>213</v>
      </c>
      <c r="AB12" s="245">
        <f>MAX('Január-December'!X276:X306)</f>
        <v>24</v>
      </c>
      <c r="AC12" s="246">
        <f>MAX('Január-December'!Y276:Y306)</f>
        <v>4.8</v>
      </c>
      <c r="AD12" s="247">
        <f>SUM('Január-December'!Y276:Y306)</f>
        <v>18.099999999999998</v>
      </c>
      <c r="AE12" s="248">
        <f>MAX('Január-December'!Z276:Z306)</f>
        <v>0</v>
      </c>
      <c r="AF12" s="249">
        <f>MAX('Január-December'!AA276:AA306)</f>
        <v>0</v>
      </c>
      <c r="AG12" s="250"/>
    </row>
    <row r="13" spans="1:33" s="251" customFormat="1" ht="14.4" customHeight="1" x14ac:dyDescent="0.3">
      <c r="A13" s="259" t="s">
        <v>33</v>
      </c>
      <c r="B13" s="252">
        <f>MAX('Január-December'!E307:E336)</f>
        <v>18.100000000000001</v>
      </c>
      <c r="C13" s="224">
        <f>MIN('Január-December'!F307:F336)</f>
        <v>-5.5</v>
      </c>
      <c r="D13" s="224">
        <f>MAX('Január-December'!G307:G336)</f>
        <v>11.1</v>
      </c>
      <c r="E13" s="224">
        <f>MIN('Január-December'!G307:G336)</f>
        <v>1.6999999999999993</v>
      </c>
      <c r="F13" s="224">
        <f>IFERROR(AVERAGE('Január-December'!H307:H336),"")</f>
        <v>4.7341666666666669</v>
      </c>
      <c r="G13" s="224">
        <f>IFERROR(AVERAGE('Január-December'!I307:I336),"")</f>
        <v>4.7983978490847274</v>
      </c>
      <c r="H13" s="224">
        <f>MAX('Január-December'!H307:H336)</f>
        <v>11.5</v>
      </c>
      <c r="I13" s="256">
        <f>MIN('Január-December'!H307:H336)</f>
        <v>-2.1749999999999998</v>
      </c>
      <c r="J13" s="225">
        <f>MAX('Január-December'!J307:J336)</f>
        <v>13.5</v>
      </c>
      <c r="K13" s="224">
        <f>MIN('Január-December'!K307:K336)</f>
        <v>-5.9</v>
      </c>
      <c r="L13" s="226">
        <f>IFERROR(AVERAGE('Január-December'!L307:L336),"")</f>
        <v>3.7455426020730505</v>
      </c>
      <c r="M13" s="227">
        <f>MAX('Január-December'!M307:M336)</f>
        <v>99.4</v>
      </c>
      <c r="N13" s="228">
        <f>COUNTIF('Január-December'!M307:M336,"&gt;95")</f>
        <v>29</v>
      </c>
      <c r="O13" s="229">
        <f>MIN('Január-December'!N307:N336)</f>
        <v>63.9</v>
      </c>
      <c r="P13" s="229">
        <f>IFERROR(AVERAGE('Január-December'!O307:O336),"")</f>
        <v>93.112971415310525</v>
      </c>
      <c r="Q13" s="229">
        <f>MAX('Január-December'!O307:O336)</f>
        <v>98.034166666666096</v>
      </c>
      <c r="R13" s="229">
        <f>MIN('Január-December'!O307:O336)</f>
        <v>84.860833333333389</v>
      </c>
      <c r="S13" s="254">
        <f>MAX('Január-December'!P307:P336)</f>
        <v>1033.56632106755</v>
      </c>
      <c r="T13" s="232">
        <f>MIN('Január-December'!Q307:Q336)</f>
        <v>1000.32354895149</v>
      </c>
      <c r="U13" s="255">
        <f>IFERROR(AVERAGE('Január-December'!R307:R336),"")</f>
        <v>1017.6926467683689</v>
      </c>
      <c r="V13" s="243">
        <f>MAX('Január-December'!S307:S336)</f>
        <v>9.5000000076000006</v>
      </c>
      <c r="W13" s="257">
        <f>MAX('Január-December'!T307:T336)</f>
        <v>6.2366666716559997</v>
      </c>
      <c r="X13" s="257">
        <f>IFERROR(AVERAGE('Január-December'!U307:U336),"")</f>
        <v>0.84933438929159488</v>
      </c>
      <c r="Y13" s="257">
        <f>MAX('Január-December'!U307:U336)</f>
        <v>2.1312138745373335</v>
      </c>
      <c r="Z13" s="257">
        <f>MIN('Január-December'!U307:U336)</f>
        <v>0.23677745683682239</v>
      </c>
      <c r="AA13" s="261" t="s">
        <v>215</v>
      </c>
      <c r="AB13" s="245">
        <f>MAX('Január-December'!X307:X336)</f>
        <v>24</v>
      </c>
      <c r="AC13" s="246">
        <f>MAX('Január-December'!Y307:Y336)</f>
        <v>13.1</v>
      </c>
      <c r="AD13" s="247">
        <f>SUM('Január-December'!Y307:Y336)</f>
        <v>21.5</v>
      </c>
      <c r="AE13" s="248">
        <f>MAX('Január-December'!Z307:Z336)</f>
        <v>1.5</v>
      </c>
      <c r="AF13" s="249">
        <f>MAX('Január-December'!AA307:AA336)</f>
        <v>1.5</v>
      </c>
      <c r="AG13" s="250"/>
    </row>
    <row r="14" spans="1:33" s="251" customFormat="1" ht="15" thickBot="1" x14ac:dyDescent="0.35">
      <c r="A14" s="259" t="s">
        <v>34</v>
      </c>
      <c r="B14" s="252">
        <f>MAX('Január-December'!E337:E367)</f>
        <v>8.8000000000000007</v>
      </c>
      <c r="C14" s="224">
        <f>MIN('Január-December'!F337:F367)</f>
        <v>-14.7</v>
      </c>
      <c r="D14" s="224">
        <f>MAX('Január-December'!G337:G367)</f>
        <v>13.1</v>
      </c>
      <c r="E14" s="224">
        <f>MIN('Január-December'!G337:G367)</f>
        <v>1.5</v>
      </c>
      <c r="F14" s="224">
        <f>IFERROR(AVERAGE('Január-December'!H337:H367),"")</f>
        <v>0.84435483870967742</v>
      </c>
      <c r="G14" s="224">
        <f>IFERROR(AVERAGE('Január-December'!I337:I367),"")</f>
        <v>0.69374009047493645</v>
      </c>
      <c r="H14" s="224">
        <f>MAX('Január-December'!H337:H367)</f>
        <v>5.7</v>
      </c>
      <c r="I14" s="256">
        <f>MIN('Január-December'!H337:H367)</f>
        <v>-5.6</v>
      </c>
      <c r="J14" s="225">
        <f>MAX('Január-December'!J337:J367)</f>
        <v>6.3</v>
      </c>
      <c r="K14" s="224">
        <f>MIN('Január-December'!K337:K367)</f>
        <v>-16.100000000000001</v>
      </c>
      <c r="L14" s="226">
        <f>IFERROR(AVERAGE('Január-December'!L337:L367),"")</f>
        <v>-0.55115377832206502</v>
      </c>
      <c r="M14" s="227">
        <f>MAX('Január-December'!M337:M367)</f>
        <v>100</v>
      </c>
      <c r="N14" s="228">
        <f>COUNTIF('Január-December'!M337:M367,"&gt;95")</f>
        <v>25</v>
      </c>
      <c r="O14" s="229">
        <f>MIN('Január-December'!N337:N367)</f>
        <v>58.3</v>
      </c>
      <c r="P14" s="229">
        <f>IFERROR(AVERAGE('Január-December'!O337:O367),"")</f>
        <v>91.59069346525834</v>
      </c>
      <c r="Q14" s="229">
        <f>MAX('Január-December'!O337:O367)</f>
        <v>97.877847222222059</v>
      </c>
      <c r="R14" s="229">
        <f>MIN('Január-December'!O337:O367)</f>
        <v>74.405833333333234</v>
      </c>
      <c r="S14" s="254">
        <f>MAX('Január-December'!P337:P367)</f>
        <v>1042.2593862276599</v>
      </c>
      <c r="T14" s="232">
        <f>MIN('Január-December'!Q337:Q367)</f>
        <v>996.40506541320406</v>
      </c>
      <c r="U14" s="255">
        <f>IFERROR(AVERAGE('Január-December'!R337:R367),"")</f>
        <v>1017.7048741083111</v>
      </c>
      <c r="V14" s="243">
        <f>MAX('Január-December'!S337:S367)</f>
        <v>11.900000009519999</v>
      </c>
      <c r="W14" s="257">
        <f>MAX('Január-December'!T337:T367)</f>
        <v>7.6033333394159994</v>
      </c>
      <c r="X14" s="257">
        <f>IFERROR(AVERAGE('Január-December'!U337:U367),"")</f>
        <v>1.3455715529983112</v>
      </c>
      <c r="Y14" s="257">
        <f>MAX('Január-December'!U337:U367)</f>
        <v>3.6052075775382133</v>
      </c>
      <c r="Z14" s="257">
        <f>MIN('Január-December'!U337:U367)</f>
        <v>0.30771739155052424</v>
      </c>
      <c r="AA14" s="261" t="s">
        <v>211</v>
      </c>
      <c r="AB14" s="245">
        <f>MAX('Január-December'!X337:X367)</f>
        <v>12</v>
      </c>
      <c r="AC14" s="246">
        <f>MAX('Január-December'!Y337:Y367)</f>
        <v>24.2</v>
      </c>
      <c r="AD14" s="247">
        <f>SUM('Január-December'!Y337:Y367)</f>
        <v>56.5</v>
      </c>
      <c r="AE14" s="248">
        <f>MAX('Január-December'!Z337:Z367)</f>
        <v>31</v>
      </c>
      <c r="AF14" s="249">
        <f>MAX('Január-December'!AA337:AA367)</f>
        <v>31</v>
      </c>
      <c r="AG14" s="250"/>
    </row>
    <row r="15" spans="1:33" s="212" customFormat="1" ht="16.2" thickBot="1" x14ac:dyDescent="0.35">
      <c r="A15" s="200">
        <v>2021</v>
      </c>
      <c r="B15" s="201">
        <f>MAX(B3:B14)</f>
        <v>38.1</v>
      </c>
      <c r="C15" s="202">
        <f>MIN(C3:C14)</f>
        <v>-14.7</v>
      </c>
      <c r="D15" s="202">
        <f>MAX(D3:D14)</f>
        <v>29.2</v>
      </c>
      <c r="E15" s="202">
        <f>MIN(E3:E14)</f>
        <v>1.5</v>
      </c>
      <c r="F15" s="202">
        <f>AVERAGE(F3:F14)</f>
        <v>9.7801486495135688</v>
      </c>
      <c r="G15" s="202">
        <f>AVERAGE(G3:G14)</f>
        <v>9.8405661771240247</v>
      </c>
      <c r="H15" s="202">
        <f>MAX(H3:H14)</f>
        <v>28.475000000000001</v>
      </c>
      <c r="I15" s="203">
        <f>MIN(I3:I14)</f>
        <v>-9.375</v>
      </c>
      <c r="J15" s="201">
        <f>MAX(J3:J14)</f>
        <v>23.9</v>
      </c>
      <c r="K15" s="202">
        <f>MIN(K3:K14)</f>
        <v>-16.2</v>
      </c>
      <c r="L15" s="203">
        <f>AVERAGE(L3:L14)</f>
        <v>5.9205954384714721</v>
      </c>
      <c r="M15" s="204">
        <f>MAX(M3:M14)</f>
        <v>100</v>
      </c>
      <c r="N15" s="213">
        <f>SUM(N3:N14)</f>
        <v>228</v>
      </c>
      <c r="O15" s="205">
        <f>MIN(O3)</f>
        <v>40</v>
      </c>
      <c r="P15" s="205">
        <f>AVERAGE(P3:P14)</f>
        <v>79.576651026974687</v>
      </c>
      <c r="Q15" s="205">
        <f>MAX(Q3:Q14)</f>
        <v>98.034166666666096</v>
      </c>
      <c r="R15" s="206">
        <f>MIN(R3:R14)</f>
        <v>40.992743105950645</v>
      </c>
      <c r="S15" s="207">
        <f>MAX(S3:S14)</f>
        <v>1045.8442159318699</v>
      </c>
      <c r="T15" s="208">
        <f>MIN(T3:T14)</f>
        <v>992.73766832902402</v>
      </c>
      <c r="U15" s="215">
        <f>AVERAGE(U3:U14)</f>
        <v>1017.4006998775986</v>
      </c>
      <c r="V15" s="214">
        <f>MAX(V3:V14)</f>
        <v>18.700000014960001</v>
      </c>
      <c r="W15" s="209">
        <f>MAX(W3:W14)</f>
        <v>11.890000009511999</v>
      </c>
      <c r="X15" s="209">
        <f>AVERAGE(X3:X14)</f>
        <v>1.4059188179851689</v>
      </c>
      <c r="Y15" s="209">
        <f>MAX(Y3:Y14)</f>
        <v>4.4516360675914761</v>
      </c>
      <c r="Z15" s="209">
        <f>MIN(Z3:Z14)</f>
        <v>0.23677745683682239</v>
      </c>
      <c r="AA15" s="262" t="s">
        <v>213</v>
      </c>
      <c r="AB15" s="216">
        <f>MAX(AB3:AB14)</f>
        <v>150</v>
      </c>
      <c r="AC15" s="210">
        <f>MAX(AC3:AC14)</f>
        <v>24.2</v>
      </c>
      <c r="AD15" s="210">
        <f>SUM(AD3:AD14)</f>
        <v>574</v>
      </c>
      <c r="AE15" s="211">
        <f>MAX(AE3:AE14)</f>
        <v>31</v>
      </c>
      <c r="AF15" s="211">
        <f>MAX(AF3:AF14)</f>
        <v>31</v>
      </c>
    </row>
    <row r="16" spans="1:33" ht="15.6" x14ac:dyDescent="0.3">
      <c r="A16" s="316"/>
      <c r="AD16" s="10"/>
    </row>
    <row r="17" spans="1:30" ht="15.6" x14ac:dyDescent="0.3">
      <c r="A17" s="316"/>
      <c r="AD17" s="10"/>
    </row>
    <row r="18" spans="1:30" ht="15.6" x14ac:dyDescent="0.3">
      <c r="A18" s="316"/>
      <c r="AD18" s="10"/>
    </row>
  </sheetData>
  <autoFilter ref="A3:A15" xr:uid="{00000000-0009-0000-0000-000002000000}">
    <filterColumn colId="0">
      <colorFilter dxfId="10"/>
    </filterColumn>
  </autoFilter>
  <mergeCells count="6">
    <mergeCell ref="AB1:AF1"/>
    <mergeCell ref="V1:AA1"/>
    <mergeCell ref="S1:U1"/>
    <mergeCell ref="J1:L1"/>
    <mergeCell ref="B1:I1"/>
    <mergeCell ref="M1:R1"/>
  </mergeCells>
  <conditionalFormatting sqref="B3:I14">
    <cfRule type="cellIs" dxfId="9" priority="14" operator="equal">
      <formula>0</formula>
    </cfRule>
  </conditionalFormatting>
  <conditionalFormatting sqref="J3:Z14 AB3:AF14">
    <cfRule type="cellIs" dxfId="8" priority="13" operator="equal">
      <formula>0</formula>
    </cfRule>
  </conditionalFormatting>
  <pageMargins left="0.7" right="0.7" top="0.75" bottom="0.75" header="0.3" footer="0.3"/>
  <pageSetup paperSize="9" orientation="portrait" r:id="rId1"/>
  <ignoredErrors>
    <ignoredError sqref="AD15" formula="1"/>
    <ignoredError sqref="S9:U9 F3:M3 F9:M9 S8:Z8 AB8:AF8 AB9:AF9 S10:U10 AB10:AF10 S11:Z11 AB11:AF11 F14:H14 G13 AB13:AF13 S14:Z14 AB14:AF14 S3:Z3 AB3:AF3 S4:Z4 AB4:AF4 S5:Z5 AB5:AF5 S6:Z6 AB6:AF6 S7:Z7 AB7:AF7 S12:Z12 AB12:AF12 F4:M4 F5:M5 F6:M6 F7:M7 F8:M8 C6 C5 C3 B4:E4 B3 D3:E3 B5 D5:E5 B6 D6:E6 C15 E15 B7:C7 B8:C8 B9:C9 B10:C10 B11:C11 B13:C13 B12:C12 B14:C14 F12:H12 F11:M11 F10:M10 O6:R6 O3:R3 O4:R4 O5:R5 O7:R7 O8:R8 O9:R9 O10:R10 O11:R11 O12:R12 O13:Z13 O14:R14 V9:Z9 V10:Z10 N3:N14 J13:M13 J12:M12 J14:M14" formulaRange="1"/>
    <ignoredError sqref="D15" formula="1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5"/>
  <sheetViews>
    <sheetView zoomScale="85" zoomScaleNormal="85" workbookViewId="0">
      <selection activeCell="T25" sqref="T25"/>
    </sheetView>
  </sheetViews>
  <sheetFormatPr defaultRowHeight="14.4" x14ac:dyDescent="0.3"/>
  <cols>
    <col min="1" max="1" width="11.109375" customWidth="1"/>
    <col min="8" max="14" width="7.77734375" customWidth="1"/>
    <col min="15" max="16" width="7.5546875" customWidth="1"/>
    <col min="17" max="17" width="11.5546875" customWidth="1"/>
    <col min="18" max="18" width="11.109375" customWidth="1"/>
    <col min="20" max="20" width="12" customWidth="1"/>
    <col min="21" max="21" width="12.21875" customWidth="1"/>
    <col min="23" max="23" width="10.109375" customWidth="1"/>
    <col min="25" max="25" width="12" customWidth="1"/>
    <col min="26" max="26" width="10.5546875" customWidth="1"/>
    <col min="29" max="29" width="10.109375" customWidth="1"/>
  </cols>
  <sheetData>
    <row r="1" spans="1:30" s="272" customFormat="1" ht="16.5" customHeight="1" thickBot="1" x14ac:dyDescent="0.35">
      <c r="A1" s="506" t="s">
        <v>1</v>
      </c>
      <c r="B1" s="508" t="s">
        <v>104</v>
      </c>
      <c r="C1" s="509"/>
      <c r="D1" s="509"/>
      <c r="E1" s="509"/>
      <c r="F1" s="509"/>
      <c r="G1" s="510"/>
      <c r="H1" s="511" t="s">
        <v>103</v>
      </c>
      <c r="I1" s="512"/>
      <c r="J1" s="512"/>
      <c r="K1" s="512"/>
      <c r="L1" s="513"/>
      <c r="M1" s="501" t="s">
        <v>207</v>
      </c>
      <c r="N1" s="501"/>
      <c r="O1" s="501"/>
      <c r="P1" s="501"/>
      <c r="Q1" s="501"/>
      <c r="R1" s="502"/>
      <c r="S1" s="514" t="s">
        <v>14</v>
      </c>
      <c r="T1" s="515"/>
      <c r="U1" s="515"/>
      <c r="V1" s="515"/>
      <c r="W1" s="515"/>
      <c r="X1" s="515"/>
      <c r="Y1" s="516"/>
      <c r="Z1" s="503" t="s">
        <v>196</v>
      </c>
      <c r="AA1" s="504"/>
      <c r="AB1" s="504"/>
      <c r="AC1" s="505"/>
      <c r="AD1" s="274"/>
    </row>
    <row r="2" spans="1:30" s="217" customFormat="1" ht="45.75" customHeight="1" thickBot="1" x14ac:dyDescent="0.35">
      <c r="A2" s="507"/>
      <c r="B2" s="268" t="s">
        <v>102</v>
      </c>
      <c r="C2" s="269" t="s">
        <v>101</v>
      </c>
      <c r="D2" s="269" t="s">
        <v>100</v>
      </c>
      <c r="E2" s="269" t="s">
        <v>98</v>
      </c>
      <c r="F2" s="270" t="s">
        <v>99</v>
      </c>
      <c r="G2" s="270" t="s">
        <v>97</v>
      </c>
      <c r="H2" s="268" t="s">
        <v>178</v>
      </c>
      <c r="I2" s="217" t="s">
        <v>117</v>
      </c>
      <c r="J2" s="271" t="s">
        <v>116</v>
      </c>
      <c r="K2" s="271" t="s">
        <v>115</v>
      </c>
      <c r="L2" s="270" t="s">
        <v>105</v>
      </c>
      <c r="M2" s="362" t="s">
        <v>208</v>
      </c>
      <c r="N2" s="314" t="s">
        <v>199</v>
      </c>
      <c r="O2" s="312" t="s">
        <v>179</v>
      </c>
      <c r="P2" s="314" t="s">
        <v>191</v>
      </c>
      <c r="Q2" s="315" t="s">
        <v>206</v>
      </c>
      <c r="R2" s="313" t="s">
        <v>187</v>
      </c>
      <c r="S2" s="365" t="s">
        <v>186</v>
      </c>
      <c r="T2" s="163" t="s">
        <v>185</v>
      </c>
      <c r="U2" s="162" t="s">
        <v>184</v>
      </c>
      <c r="V2" s="275" t="s">
        <v>183</v>
      </c>
      <c r="W2" s="86" t="s">
        <v>190</v>
      </c>
      <c r="X2" s="86" t="s">
        <v>182</v>
      </c>
      <c r="Y2" s="366" t="s">
        <v>209</v>
      </c>
      <c r="Z2" s="364" t="s">
        <v>189</v>
      </c>
      <c r="AA2" s="164" t="s">
        <v>193</v>
      </c>
      <c r="AB2" s="165" t="s">
        <v>195</v>
      </c>
      <c r="AC2" s="266" t="s">
        <v>194</v>
      </c>
      <c r="AD2" s="273"/>
    </row>
    <row r="3" spans="1:30" s="76" customFormat="1" x14ac:dyDescent="0.3">
      <c r="A3" s="76" t="s">
        <v>23</v>
      </c>
      <c r="B3" s="76">
        <f>COUNTIF('Január-December'!E3:E33,"&lt;=-10")</f>
        <v>0</v>
      </c>
      <c r="C3" s="76">
        <f>COUNTIF('Január-December'!E3:E33,"&lt;=-0.1")</f>
        <v>9</v>
      </c>
      <c r="D3" s="76">
        <f>COUNTIF('Január-December'!F3:F33,"&lt;=0")</f>
        <v>26</v>
      </c>
      <c r="E3" s="76">
        <f>COUNTIF('Január-December'!E3:E33,"&gt;="&amp;25)</f>
        <v>0</v>
      </c>
      <c r="F3" s="76">
        <f>COUNTIF('Január-December'!E3:E33,"&gt;=30")</f>
        <v>0</v>
      </c>
      <c r="G3" s="76">
        <f>COUNTIF('Január-December'!AB3:AB33,"*tropická noc*")</f>
        <v>0</v>
      </c>
      <c r="H3" s="76">
        <f>COUNTIF(búrky!E5:E7,"*w*")</f>
        <v>0</v>
      </c>
      <c r="I3" s="76">
        <f>COUNTIF(búrky!E5:E7,"*P*")</f>
        <v>0</v>
      </c>
      <c r="J3" s="76">
        <f>COUNTIF(búrky!E5:E7,"*L*")</f>
        <v>0</v>
      </c>
      <c r="K3" s="85">
        <f>COUNTIF(búrky!E5:E7,"*V*")</f>
        <v>0</v>
      </c>
      <c r="L3" s="83">
        <f>SUM(I3:K3)</f>
        <v>0</v>
      </c>
      <c r="M3" s="83">
        <f>COUNTIF('Január-December'!AB3:AB33,"*zákal*")</f>
        <v>0</v>
      </c>
      <c r="N3" s="83">
        <f>COUNTIF('Január-December'!AB3:AB33,"*dymno*")</f>
        <v>6</v>
      </c>
      <c r="O3" s="76">
        <f>COUNTIF('Január-December'!AB3:AB33,"*hmla*")</f>
        <v>6</v>
      </c>
      <c r="P3" s="83">
        <f>COUNTIF('Január-December'!AB3:AB33,"*slnečný deň*")</f>
        <v>1</v>
      </c>
      <c r="Q3" s="83">
        <f>COUNTIF('Január-December'!AB3:AB33,"*0/8*")</f>
        <v>0</v>
      </c>
      <c r="R3" s="83">
        <f>COUNTIF('Január-December'!AB3:AB33,"*8/8*")</f>
        <v>8</v>
      </c>
      <c r="S3" s="76">
        <f t="shared" ref="S3:S14" si="0">SUM(T3,U3)</f>
        <v>19</v>
      </c>
      <c r="T3" s="83">
        <f>COUNTIF('Január-December'!W3:W33,"*N*")</f>
        <v>6</v>
      </c>
      <c r="U3" s="83">
        <f>COUNTIF('Január-December'!W3:W33,"*Z*")</f>
        <v>13</v>
      </c>
      <c r="V3" s="76">
        <f>COUNTIF('Január-December'!W3:W33,"*D*")</f>
        <v>7</v>
      </c>
      <c r="W3" s="76">
        <f>COUNTIF('Január-December'!W3:W33,"*K*")</f>
        <v>0</v>
      </c>
      <c r="X3" s="76">
        <f>COUNTIF('Január-December'!W3:W33,"*S*")</f>
        <v>15</v>
      </c>
      <c r="Y3" s="76">
        <f>COUNTIF('Január-December'!W2:W32,"*U*")</f>
        <v>0</v>
      </c>
      <c r="Z3" s="76">
        <f>SUM(AA3:AC3)</f>
        <v>17</v>
      </c>
      <c r="AA3" s="76">
        <f>COUNTIF('Január-December'!AB3:AB33,"*SSP*")</f>
        <v>10</v>
      </c>
      <c r="AB3" s="76">
        <f>COUNTIF('Január-December'!AB3:AB33,"*NSP*")</f>
        <v>6</v>
      </c>
      <c r="AC3" s="76">
        <f>COUNTIF('Január-December'!AB3:AB33,"*poprašok*")</f>
        <v>1</v>
      </c>
    </row>
    <row r="4" spans="1:30" s="76" customFormat="1" x14ac:dyDescent="0.3">
      <c r="A4" s="71" t="s">
        <v>24</v>
      </c>
      <c r="B4" s="76">
        <f>COUNTIF('Január-December'!E34:E61,"&lt;=-10")</f>
        <v>0</v>
      </c>
      <c r="C4" s="76">
        <f>COUNTIF('Január-December'!E34:E61,"&lt;=-0.1")</f>
        <v>0</v>
      </c>
      <c r="D4" s="76">
        <f>COUNTIF('Január-December'!F34:F61,"&lt;=0")</f>
        <v>19</v>
      </c>
      <c r="E4" s="76">
        <f>COUNTIF('Január-December'!E34:E61,"&gt;="&amp;25)</f>
        <v>0</v>
      </c>
      <c r="F4" s="76">
        <f>COUNTIF('Január-December'!E34:E61,"&gt;=30")</f>
        <v>0</v>
      </c>
      <c r="G4" s="76">
        <f>COUNTIF('Január-December'!AB34:AB61,"*tropická noc*")</f>
        <v>0</v>
      </c>
      <c r="H4" s="76">
        <f>COUNTIF(búrky!E19:E21,"*w*")</f>
        <v>0</v>
      </c>
      <c r="I4" s="76">
        <f>COUNTIF(búrky!E19:E21,"*P*")</f>
        <v>0</v>
      </c>
      <c r="J4" s="76">
        <f>COUNTIF(búrky!E19:E21,"*L*")</f>
        <v>0</v>
      </c>
      <c r="K4" s="76">
        <f>COUNTIF(búrky!E19:E21,"*V*")</f>
        <v>0</v>
      </c>
      <c r="L4" s="83">
        <f t="shared" ref="L4:L14" si="1">SUM(I4:K4)</f>
        <v>0</v>
      </c>
      <c r="M4" s="76">
        <f>COUNTIF('Január-December'!AB34:AB61,"*zákal*")</f>
        <v>0</v>
      </c>
      <c r="N4" s="76">
        <f>COUNTIF('Január-December'!AB34:AB61,"*dymno*")</f>
        <v>2</v>
      </c>
      <c r="O4" s="76">
        <f>COUNTIF('Január-December'!AB34:AB61,"*hmla*")</f>
        <v>6</v>
      </c>
      <c r="P4" s="76">
        <f>COUNTIF('Január-December'!AB34:AB61,"*slnečný deň*")</f>
        <v>4</v>
      </c>
      <c r="Q4" s="277">
        <f>COUNTIF('Január-December'!AB34:AB61,"*0/8*")</f>
        <v>0</v>
      </c>
      <c r="R4" s="277">
        <f>COUNTIF('Január-December'!AB34:AB61,"*8/8*")</f>
        <v>6</v>
      </c>
      <c r="S4" s="76">
        <f t="shared" si="0"/>
        <v>21</v>
      </c>
      <c r="T4" s="277">
        <f>COUNTIF('Január-December'!W34:W61,"*N*")</f>
        <v>8</v>
      </c>
      <c r="U4" s="277">
        <f>COUNTIF('Január-December'!W34:W61,"*Z*")</f>
        <v>13</v>
      </c>
      <c r="V4" s="76">
        <f>COUNTIF('Január-December'!W34:W61,"*D*")</f>
        <v>17</v>
      </c>
      <c r="W4" s="76">
        <f>COUNTIF('Január-December'!W34:W61,"*K*")</f>
        <v>0</v>
      </c>
      <c r="X4" s="76">
        <f>COUNTIF('Január-December'!W34:W61,"*S*")</f>
        <v>9</v>
      </c>
      <c r="Y4" s="76">
        <f>COUNTIF('Január-December'!W33:W61,"*U*")</f>
        <v>0</v>
      </c>
      <c r="Z4" s="76">
        <f t="shared" ref="Z4:Z14" si="2">SUM(AA4:AC4)</f>
        <v>11</v>
      </c>
      <c r="AA4" s="76">
        <f>COUNTIF('Január-December'!AB34:AB61,"*SSP*")</f>
        <v>1</v>
      </c>
      <c r="AB4" s="76">
        <f>COUNTIF('Január-December'!AB34:AB61,"*NSP*")</f>
        <v>7</v>
      </c>
      <c r="AC4" s="76">
        <f>COUNTIF('Január-December'!AB34:AB61,"*poprašok*")</f>
        <v>3</v>
      </c>
    </row>
    <row r="5" spans="1:30" s="76" customFormat="1" x14ac:dyDescent="0.3">
      <c r="A5" s="71" t="s">
        <v>25</v>
      </c>
      <c r="B5" s="76">
        <f>COUNTIF('Január-December'!E62:E92,"&lt;=-10")</f>
        <v>0</v>
      </c>
      <c r="C5" s="76">
        <f>COUNTIF('Január-December'!E62:E92,"&lt;=-0.1")</f>
        <v>0</v>
      </c>
      <c r="D5" s="76">
        <f>COUNTIF('Január-December'!F62:F92,"&lt;=0")</f>
        <v>29</v>
      </c>
      <c r="E5" s="76">
        <f>COUNTIF('Január-December'!E62:E92,"&gt;="&amp;25)</f>
        <v>0</v>
      </c>
      <c r="F5" s="76">
        <f>COUNTIF('Január-December'!E62:E92,"&gt;=30")</f>
        <v>0</v>
      </c>
      <c r="G5" s="76">
        <f>COUNTIF('Január-December'!AB62:AB92,"*tropická noc*")</f>
        <v>0</v>
      </c>
      <c r="H5" s="76">
        <f>COUNTIF(búrky!E33:E36,"*w*")</f>
        <v>0</v>
      </c>
      <c r="I5" s="76">
        <f>COUNTIF(búrky!E33:E36,"*P*")</f>
        <v>0</v>
      </c>
      <c r="J5" s="71">
        <f>COUNTIF(búrky!E33:E36,"*L*")</f>
        <v>0</v>
      </c>
      <c r="K5" s="81">
        <f>COUNTIF(búrky!E33:E36,"*V*")</f>
        <v>0</v>
      </c>
      <c r="L5" s="83">
        <f>SUM(I5:K5)</f>
        <v>0</v>
      </c>
      <c r="M5" s="76">
        <f>COUNTIF('Január-December'!AB62:AB92,"*zákal*")</f>
        <v>0</v>
      </c>
      <c r="N5" s="76">
        <f>COUNTIF('Január-December'!AB62:AB92,"*dymno*")</f>
        <v>1</v>
      </c>
      <c r="O5" s="76">
        <f>COUNTIF('Január-December'!AB62:AB92,"*hmla*")</f>
        <v>1</v>
      </c>
      <c r="P5" s="76">
        <f>COUNTIF('Január-December'!AB62:AB92,"*slnečný deň*")</f>
        <v>12</v>
      </c>
      <c r="Q5" s="277">
        <f>COUNTIF('Január-December'!AB62:AB92,"*0/8*")</f>
        <v>5</v>
      </c>
      <c r="R5" s="277">
        <f>COUNTIF('Január-December'!AB62:AB92,"*8/8*")</f>
        <v>4</v>
      </c>
      <c r="S5" s="76">
        <f t="shared" si="0"/>
        <v>10</v>
      </c>
      <c r="T5" s="277">
        <f>COUNTIF('Január-December'!W62:W92,"*N*")</f>
        <v>3</v>
      </c>
      <c r="U5" s="277">
        <f>COUNTIF('Január-December'!W62:W92,"*Z*")</f>
        <v>7</v>
      </c>
      <c r="V5" s="76">
        <f>COUNTIF('Január-December'!W62:W92,"*D*")</f>
        <v>6</v>
      </c>
      <c r="W5" s="76">
        <f>COUNTIF('Január-December'!W62:W92,"*K*")</f>
        <v>0</v>
      </c>
      <c r="X5" s="76">
        <f>COUNTIF('Január-December'!W62:W92,"*S*")</f>
        <v>6</v>
      </c>
      <c r="Y5" s="76">
        <f>COUNTIF('Január-December'!W62:W91,"*U*")</f>
        <v>0</v>
      </c>
      <c r="Z5" s="76">
        <f t="shared" si="2"/>
        <v>6</v>
      </c>
      <c r="AA5" s="76">
        <f>COUNTIF('Január-December'!AB62:AB92,"*SSP*")</f>
        <v>3</v>
      </c>
      <c r="AB5" s="76">
        <f>COUNTIF('Január-December'!AB62:AB92,"*NSP*")</f>
        <v>2</v>
      </c>
      <c r="AC5" s="76">
        <f>COUNTIF('Január-December'!AB62:AB92,"*poprašok*")</f>
        <v>1</v>
      </c>
    </row>
    <row r="6" spans="1:30" s="76" customFormat="1" x14ac:dyDescent="0.3">
      <c r="A6" s="71" t="s">
        <v>26</v>
      </c>
      <c r="B6" s="76">
        <f>COUNTIF('Január-December'!E93:E122,"&lt;=-10")</f>
        <v>0</v>
      </c>
      <c r="C6" s="76">
        <f>COUNTIF('Január-December'!E93:E122,"&lt;=-0.1")</f>
        <v>0</v>
      </c>
      <c r="D6" s="76">
        <f>COUNTIF('Január-December'!F93:F122,"&lt;=0")</f>
        <v>12</v>
      </c>
      <c r="E6" s="76">
        <f>COUNTIF('Január-December'!E93:E122,"&gt;="&amp;25)</f>
        <v>0</v>
      </c>
      <c r="F6" s="76">
        <f>COUNTIF('Január-December'!E93:E122,"&gt;=30")</f>
        <v>0</v>
      </c>
      <c r="G6" s="76">
        <f>COUNTIF('Január-December'!AB93:AB122,"*tropická noc*")</f>
        <v>0</v>
      </c>
      <c r="H6" s="76">
        <f>COUNTIF(búrky!E48:E54,"*w*")</f>
        <v>1</v>
      </c>
      <c r="I6" s="76">
        <f>COUNTIF(búrky!E48:E54,"*P*")</f>
        <v>0</v>
      </c>
      <c r="J6" s="71">
        <f>COUNTIF(búrky!E48:E54,"*L*")</f>
        <v>0</v>
      </c>
      <c r="K6" s="81">
        <f>COUNTIF(búrky!E48:E54,"*V*")</f>
        <v>1</v>
      </c>
      <c r="L6" s="83">
        <f>SUM(I6:K6)</f>
        <v>1</v>
      </c>
      <c r="M6" s="76">
        <f>COUNTIF('Január-December'!AB93:AB122,"*zákal*")</f>
        <v>0</v>
      </c>
      <c r="N6" s="76">
        <f>COUNTIF('Január-December'!AB93:AB122,"*dymno*")</f>
        <v>2</v>
      </c>
      <c r="O6" s="76">
        <f>COUNTIF('Január-December'!AB93:AB122,"*hmla*")</f>
        <v>0</v>
      </c>
      <c r="P6" s="76">
        <f>COUNTIF('Január-December'!AB93:AB122,"*slnečný deň*")</f>
        <v>1</v>
      </c>
      <c r="Q6" s="277">
        <f>COUNTIF('Január-December'!AB93:AB122,"*0/8*")</f>
        <v>0</v>
      </c>
      <c r="R6" s="277">
        <f>COUNTIF('Január-December'!AB93:AB122,"*8/8*")</f>
        <v>4</v>
      </c>
      <c r="S6" s="76">
        <f t="shared" si="0"/>
        <v>15</v>
      </c>
      <c r="T6" s="277">
        <f>COUNTIF('Január-December'!W93:W122,"*N*")</f>
        <v>3</v>
      </c>
      <c r="U6" s="277">
        <f>COUNTIF('Január-December'!W93:W122,"*Z*")</f>
        <v>12</v>
      </c>
      <c r="V6" s="76">
        <f>COUNTIF('Január-December'!W93:W122,"*D*")</f>
        <v>14</v>
      </c>
      <c r="W6" s="76">
        <f>COUNTIF('Január-December'!W93:W122,"*K*")</f>
        <v>0</v>
      </c>
      <c r="X6" s="76">
        <f>COUNTIF('Január-December'!W93:W122,"*S*")</f>
        <v>3</v>
      </c>
      <c r="Y6" s="76">
        <f>COUNTIF('Január-December'!W93:W122,"*U*")</f>
        <v>0</v>
      </c>
      <c r="Z6" s="76">
        <f t="shared" si="2"/>
        <v>1</v>
      </c>
      <c r="AA6" s="76">
        <f>COUNTIF('Január-December'!AB93:AB122,"*SSP*")</f>
        <v>0</v>
      </c>
      <c r="AB6" s="76">
        <f>COUNTIF('Január-December'!AB93:AB122,"*NSP*")</f>
        <v>0</v>
      </c>
      <c r="AC6" s="76">
        <f>COUNTIF('Január-December'!AB93:AB122,"*poprašok*")</f>
        <v>1</v>
      </c>
    </row>
    <row r="7" spans="1:30" s="76" customFormat="1" x14ac:dyDescent="0.3">
      <c r="A7" s="71" t="s">
        <v>27</v>
      </c>
      <c r="B7" s="76">
        <f>COUNTIF('Január-December'!E123:E153,"&lt;=-10")</f>
        <v>0</v>
      </c>
      <c r="C7" s="76">
        <f>COUNTIF('Január-December'!E123:E153,"&lt;=-0.1")</f>
        <v>0</v>
      </c>
      <c r="D7" s="76">
        <f>COUNTIF('Január-December'!F123:F153,"&lt;=0")</f>
        <v>1</v>
      </c>
      <c r="E7" s="76">
        <f>COUNTIF('Január-December'!E123:E153,"&gt;="&amp;25)</f>
        <v>11</v>
      </c>
      <c r="F7" s="76">
        <f>COUNTIF('Január-December'!E123:E153,"&gt;=30")</f>
        <v>0</v>
      </c>
      <c r="G7" s="76">
        <f>COUNTIF('Január-December'!AB123:AB153,"*tropická noc*")</f>
        <v>0</v>
      </c>
      <c r="H7" s="76">
        <f>COUNTIF(búrky!E66:E74,"*w*")</f>
        <v>6</v>
      </c>
      <c r="I7" s="76">
        <f>COUNTIF(búrky!E66:E74,"*P*")</f>
        <v>3</v>
      </c>
      <c r="J7" s="71">
        <f>COUNTIF(búrky!E66:E74,"*L*")</f>
        <v>1</v>
      </c>
      <c r="K7" s="81">
        <f>COUNTIF(búrky!E66:E74,"*V*")</f>
        <v>2</v>
      </c>
      <c r="L7" s="83">
        <f t="shared" si="1"/>
        <v>6</v>
      </c>
      <c r="M7" s="76">
        <f>COUNTIF('Január-December'!AB123:AB153,"*zákal*")</f>
        <v>0</v>
      </c>
      <c r="N7" s="76">
        <f>COUNTIF('Január-December'!AB123:AB153,"*dymno*")</f>
        <v>4</v>
      </c>
      <c r="O7" s="76">
        <f>COUNTIF('Január-December'!AB123:AB153,"*hmla*")</f>
        <v>2</v>
      </c>
      <c r="P7" s="76">
        <f>COUNTIF('Január-December'!AB123:AB153,"*slnečný deň*")</f>
        <v>5</v>
      </c>
      <c r="Q7" s="277">
        <f>COUNTIF('Január-December'!AB123:AB153,"*0/8*")</f>
        <v>0</v>
      </c>
      <c r="R7" s="277">
        <f>COUNTIF('Január-December'!AB123:AB153,"*8/8*")</f>
        <v>0</v>
      </c>
      <c r="S7" s="76">
        <f t="shared" si="0"/>
        <v>11</v>
      </c>
      <c r="T7" s="277">
        <f>COUNTIF('Január-December'!W123:W153,"*N*")</f>
        <v>3</v>
      </c>
      <c r="U7" s="277">
        <f>COUNTIF('Január-December'!W123:W153,"*Z*")</f>
        <v>8</v>
      </c>
      <c r="V7" s="76">
        <f>COUNTIF('Január-December'!W123:W153,"*D*")</f>
        <v>11</v>
      </c>
      <c r="W7" s="76">
        <f>COUNTIF('Január-December'!W123:W153,"*K*")</f>
        <v>0</v>
      </c>
      <c r="X7" s="76">
        <f>COUNTIF('Január-December'!W123:W153,"*S*")</f>
        <v>0</v>
      </c>
      <c r="Y7" s="76">
        <f>COUNTIF('Január-December'!W123:W153,"*U*")</f>
        <v>0</v>
      </c>
      <c r="Z7" s="76">
        <f t="shared" si="2"/>
        <v>0</v>
      </c>
      <c r="AA7" s="76">
        <f>COUNTIF('Január-December'!AB123:AB153,"*SSP*")</f>
        <v>0</v>
      </c>
      <c r="AB7" s="76">
        <f>COUNTIF('Január-December'!AB123:AB153,"*NSP*")</f>
        <v>0</v>
      </c>
      <c r="AC7" s="76">
        <f>COUNTIF('Január-December'!AB123:AB153,"*poprašok*")</f>
        <v>0</v>
      </c>
    </row>
    <row r="8" spans="1:30" s="76" customFormat="1" x14ac:dyDescent="0.3">
      <c r="A8" s="71" t="s">
        <v>28</v>
      </c>
      <c r="B8" s="76">
        <f>COUNTIF('Január-December'!E154:E183,"&lt;=-10")</f>
        <v>0</v>
      </c>
      <c r="C8" s="76">
        <f>COUNTIF('Január-December'!E154:E183,"&lt;=-0.1")</f>
        <v>0</v>
      </c>
      <c r="D8" s="76">
        <f>COUNTIF('Január-December'!F154:F183,"&lt;=0")</f>
        <v>0</v>
      </c>
      <c r="E8" s="76">
        <f>COUNTIF('Január-December'!E154:E183,"&gt;="&amp;25)</f>
        <v>28</v>
      </c>
      <c r="F8" s="76">
        <f>COUNTIF('Január-December'!E154:E183,"&gt;=30")</f>
        <v>12</v>
      </c>
      <c r="G8" s="76">
        <f>COUNTIF('Január-December'!AB154:AB183,"*tropická noc*")</f>
        <v>0</v>
      </c>
      <c r="H8" s="76">
        <f>COUNTIF(búrky!E86:E103,"*w*")</f>
        <v>4</v>
      </c>
      <c r="I8" s="76">
        <f>COUNTIF(búrky!E86:E103,"*P*")</f>
        <v>0</v>
      </c>
      <c r="J8" s="71">
        <f>COUNTIF(búrky!E86:E103,"*L*")</f>
        <v>1</v>
      </c>
      <c r="K8" s="81">
        <f>COUNTIF(búrky!E86:E103,"*V*")</f>
        <v>3</v>
      </c>
      <c r="L8" s="83">
        <f t="shared" si="1"/>
        <v>4</v>
      </c>
      <c r="M8" s="76">
        <f>COUNTIF('Január-December'!AB154:AB183,"*zákal*")</f>
        <v>0</v>
      </c>
      <c r="N8" s="76">
        <f>COUNTIF('Január-December'!AB154:AB183,"*dymno*")</f>
        <v>3</v>
      </c>
      <c r="O8" s="76">
        <f>COUNTIF('Január-December'!AB154:AB183,"*hmla*")</f>
        <v>1</v>
      </c>
      <c r="P8" s="76">
        <f>COUNTIF('Január-December'!AB154:AB183,"*slnečný deň*")</f>
        <v>12</v>
      </c>
      <c r="Q8" s="277">
        <f>COUNTIF('Január-December'!AB154:AB183,"*0/8*")</f>
        <v>0</v>
      </c>
      <c r="R8" s="277">
        <f>COUNTIF('Január-December'!AB154:AB183,"*8/8*")</f>
        <v>0</v>
      </c>
      <c r="S8" s="76">
        <f t="shared" si="0"/>
        <v>8</v>
      </c>
      <c r="T8" s="277">
        <f>COUNTIF('Január-December'!W154:W183,"*N*")</f>
        <v>2</v>
      </c>
      <c r="U8" s="277">
        <f>COUNTIF('Január-December'!W154:W183,"*Z*")</f>
        <v>6</v>
      </c>
      <c r="V8" s="76">
        <f>COUNTIF('Január-December'!W154:W183,"*D*")</f>
        <v>8</v>
      </c>
      <c r="W8" s="76">
        <f>COUNTIF('Január-December'!W154:W183,"*K*")</f>
        <v>0</v>
      </c>
      <c r="X8" s="76">
        <f>COUNTIF('Január-December'!W154:W183,"*S*")</f>
        <v>0</v>
      </c>
      <c r="Y8" s="76">
        <f>COUNTIF('Január-December'!W153:W182,"*U*")</f>
        <v>0</v>
      </c>
      <c r="Z8" s="76">
        <f t="shared" si="2"/>
        <v>0</v>
      </c>
      <c r="AA8" s="76">
        <f>COUNTIF('Január-December'!AB154:AB183,"*SSP*")</f>
        <v>0</v>
      </c>
      <c r="AB8" s="76">
        <f>COUNTIF('Január-December'!AB154:AB183,"*NSP*")</f>
        <v>0</v>
      </c>
      <c r="AC8" s="76">
        <f>COUNTIF('Január-December'!AB154:AB183,"*poprašok*")</f>
        <v>0</v>
      </c>
    </row>
    <row r="9" spans="1:30" s="76" customFormat="1" x14ac:dyDescent="0.3">
      <c r="A9" s="71" t="s">
        <v>29</v>
      </c>
      <c r="B9" s="76">
        <f>COUNTIF('Január-December'!E184:E214,"&lt;=-10")</f>
        <v>0</v>
      </c>
      <c r="C9" s="76">
        <f>COUNTIF('Január-December'!E184:E214,"&lt;=-0.1")</f>
        <v>0</v>
      </c>
      <c r="D9" s="76">
        <f>COUNTIF('Január-December'!F184:F214,"&lt;=0")</f>
        <v>0</v>
      </c>
      <c r="E9" s="76">
        <f>COUNTIF('Január-December'!E184:E214,"&gt;="&amp;25)</f>
        <v>28</v>
      </c>
      <c r="F9" s="76">
        <f>COUNTIF('Január-December'!E184:E214,"&gt;=30")</f>
        <v>14</v>
      </c>
      <c r="G9" s="76">
        <f>COUNTIF('Január-December'!AB184:AB214,"*tropická noc*")</f>
        <v>0</v>
      </c>
      <c r="H9" s="76">
        <f>COUNTIF(búrky!E115:E137,"*w*")</f>
        <v>9</v>
      </c>
      <c r="I9" s="76">
        <f>COUNTIF(búrky!E115:E137,"*P*")</f>
        <v>4</v>
      </c>
      <c r="J9" s="71">
        <f>COUNTIF(búrky!E115:E137,"*L*")</f>
        <v>5</v>
      </c>
      <c r="K9" s="81">
        <f>COUNTIF(búrky!E115:E137,"*V*")</f>
        <v>6</v>
      </c>
      <c r="L9" s="83">
        <f>SUM(I9:K9)</f>
        <v>15</v>
      </c>
      <c r="M9" s="76">
        <f>COUNTIF('Január-December'!AB184:AB214,"*zákal*")</f>
        <v>0</v>
      </c>
      <c r="N9" s="76">
        <f>COUNTIF('Január-December'!AB184:AB214,"*dymno*")</f>
        <v>1</v>
      </c>
      <c r="O9" s="76">
        <f>COUNTIF('Január-December'!AB184:AB214,"*hmla*")</f>
        <v>4</v>
      </c>
      <c r="P9" s="76">
        <f>COUNTIF('Január-December'!AB184:AB214,"*slnečný deň*")</f>
        <v>8</v>
      </c>
      <c r="Q9" s="277">
        <f>COUNTIF('Január-December'!AB184:AB214,"*0/8*")</f>
        <v>1</v>
      </c>
      <c r="R9" s="277">
        <f>COUNTIF('Január-December'!AB184:AB214,"*8/8*")</f>
        <v>1</v>
      </c>
      <c r="S9" s="76">
        <f t="shared" si="0"/>
        <v>14</v>
      </c>
      <c r="T9" s="277">
        <f>COUNTIF('Január-December'!W184:W214,"*N*")</f>
        <v>0</v>
      </c>
      <c r="U9" s="277">
        <f>COUNTIF('Január-December'!W184:W214,"*Z*")</f>
        <v>14</v>
      </c>
      <c r="V9" s="76">
        <f>COUNTIF('Január-December'!W184:W214,"*D*")</f>
        <v>14</v>
      </c>
      <c r="W9" s="76">
        <f>COUNTIF('Január-December'!W184:W214,"*K*")</f>
        <v>0</v>
      </c>
      <c r="X9" s="76">
        <f>COUNTIF('Január-December'!W184:W214,"*S*")</f>
        <v>0</v>
      </c>
      <c r="Y9" s="76">
        <f>COUNTIF('Január-December'!W183:W213,"*U*")</f>
        <v>0</v>
      </c>
      <c r="Z9" s="76">
        <f t="shared" si="2"/>
        <v>0</v>
      </c>
      <c r="AA9" s="76">
        <f>COUNTIF('Január-December'!AB184:AB214,"*SSP*")</f>
        <v>0</v>
      </c>
      <c r="AB9" s="76">
        <f>COUNTIF('Január-December'!AB184:AB214,"*NSP*")</f>
        <v>0</v>
      </c>
      <c r="AC9" s="76">
        <f>COUNTIF('Január-December'!AB184:AB214,"*poprašok*")</f>
        <v>0</v>
      </c>
    </row>
    <row r="10" spans="1:30" s="76" customFormat="1" x14ac:dyDescent="0.3">
      <c r="A10" s="71" t="s">
        <v>30</v>
      </c>
      <c r="B10" s="76">
        <f>COUNTIF('Január-December'!E215:E245,"&lt;=-10")</f>
        <v>0</v>
      </c>
      <c r="C10" s="76">
        <f>COUNTIF('Január-December'!E215:E245,"&lt;=-0.1")</f>
        <v>0</v>
      </c>
      <c r="D10" s="76">
        <f>COUNTIF('Január-December'!F215:F245,"&lt;=0")</f>
        <v>0</v>
      </c>
      <c r="E10" s="76">
        <f>COUNTIF('Január-December'!E215:E245,"&gt;="&amp;25)</f>
        <v>31</v>
      </c>
      <c r="F10" s="76">
        <f>COUNTIF('Január-December'!E215:E245,"&gt;=30")</f>
        <v>15</v>
      </c>
      <c r="G10" s="76">
        <f>COUNTIF('Január-December'!AB215:AB245,"*tropická noc*")</f>
        <v>0</v>
      </c>
      <c r="H10" s="76">
        <f>COUNTIF(búrky!E149:E164,"*w*")</f>
        <v>7</v>
      </c>
      <c r="I10" s="76">
        <f>COUNTIF(búrky!E149:E164,"*P*")</f>
        <v>2</v>
      </c>
      <c r="J10" s="71">
        <f>COUNTIF(búrky!E149:E164,"*L*")</f>
        <v>3</v>
      </c>
      <c r="K10" s="81">
        <f>COUNTIF(búrky!E149:E164,"*V*")</f>
        <v>5</v>
      </c>
      <c r="L10" s="83">
        <f t="shared" si="1"/>
        <v>10</v>
      </c>
      <c r="M10" s="76">
        <f>COUNTIF('Január-December'!AB215:AB245,"*zákal*")</f>
        <v>0</v>
      </c>
      <c r="N10" s="76">
        <f>COUNTIF('Január-December'!AB215:AB245,"*dymno*")</f>
        <v>4</v>
      </c>
      <c r="O10" s="76">
        <f>COUNTIF('Január-December'!AB215:AB245,"*hmla*")</f>
        <v>11</v>
      </c>
      <c r="P10" s="76">
        <f>COUNTIF('Január-December'!AB215:AB245,"*slnečný deň*")</f>
        <v>9</v>
      </c>
      <c r="Q10" s="277">
        <f>COUNTIF('Január-December'!AB215:AB245,"*0/8*")</f>
        <v>0</v>
      </c>
      <c r="R10" s="277">
        <f>COUNTIF('Január-December'!AB215:AB245,"*8/8*")</f>
        <v>0</v>
      </c>
      <c r="S10" s="76">
        <f>SUM(T10,U10)</f>
        <v>11</v>
      </c>
      <c r="T10" s="277">
        <f>COUNTIF('Január-December'!W215:W245,"*N*")</f>
        <v>5</v>
      </c>
      <c r="U10" s="277">
        <f>COUNTIF('Január-December'!W215:W245,"*Z*")</f>
        <v>6</v>
      </c>
      <c r="V10" s="76">
        <f>COUNTIF('Január-December'!W215:W245,"*D*")</f>
        <v>11</v>
      </c>
      <c r="W10" s="76">
        <f>COUNTIF('Január-December'!W215:W245,"*K*")</f>
        <v>1</v>
      </c>
      <c r="X10" s="76">
        <f>COUNTIF('Január-December'!W215:W245,"*S*")</f>
        <v>0</v>
      </c>
      <c r="Y10" s="76">
        <f>COUNTIF('Január-December'!W214:W244,"*U*")</f>
        <v>0</v>
      </c>
      <c r="Z10" s="76">
        <f t="shared" si="2"/>
        <v>0</v>
      </c>
      <c r="AA10" s="76">
        <f>COUNTIF('Január-December'!AB215:AB245,"*SSP*")</f>
        <v>0</v>
      </c>
      <c r="AB10" s="76">
        <f>COUNTIF('Január-December'!AB215:AB245,"*NSP*")</f>
        <v>0</v>
      </c>
      <c r="AC10" s="76">
        <f>COUNTIF('Január-December'!AB215:AB245,"*poprašok*")</f>
        <v>0</v>
      </c>
    </row>
    <row r="11" spans="1:30" s="76" customFormat="1" ht="15" customHeight="1" x14ac:dyDescent="0.3">
      <c r="A11" s="71" t="s">
        <v>31</v>
      </c>
      <c r="B11" s="76">
        <f>COUNTIF('Január-December'!E246:E275,"&lt;=-10")</f>
        <v>0</v>
      </c>
      <c r="C11" s="76">
        <f>COUNTIF('Január-December'!E246:E275,"&lt;=-0.1")</f>
        <v>0</v>
      </c>
      <c r="D11" s="76">
        <f>COUNTIF('Január-December'!F246:F275,"&lt;=0")</f>
        <v>0</v>
      </c>
      <c r="E11" s="76">
        <f>COUNTIF('Január-December'!E246:E275,"&gt;="&amp;25)</f>
        <v>6</v>
      </c>
      <c r="F11" s="76">
        <f>COUNTIF('Január-December'!E246:E275,"&gt;=30")</f>
        <v>0</v>
      </c>
      <c r="G11" s="76">
        <f>COUNTIF('Január-December'!AB246:AB275,"*tropická noc*")</f>
        <v>0</v>
      </c>
      <c r="H11" s="76">
        <f>COUNTIF(búrky!E177:E182,"*w*")</f>
        <v>1</v>
      </c>
      <c r="I11" s="76">
        <f>COUNTIF(búrky!E177:E182,"*P*")</f>
        <v>0</v>
      </c>
      <c r="J11" s="71">
        <f>COUNTIF(búrky!E177:E182,"*L*")</f>
        <v>1</v>
      </c>
      <c r="K11" s="81">
        <f>COUNTIF(búrky!E177:E182,"*V*")</f>
        <v>0</v>
      </c>
      <c r="L11" s="83">
        <f t="shared" si="1"/>
        <v>1</v>
      </c>
      <c r="M11" s="76">
        <f>COUNTIF('Január-December'!AB246:AB275,"*zákal*")</f>
        <v>0</v>
      </c>
      <c r="N11" s="76">
        <f>COUNTIF('Január-December'!AB246:AB275,"*dymno*")</f>
        <v>3</v>
      </c>
      <c r="O11" s="76">
        <f>COUNTIF('Január-December'!AB246:AB275,"*hmla*")</f>
        <v>12</v>
      </c>
      <c r="P11" s="76">
        <f>COUNTIF('Január-December'!AB246:AB275,"*slnečný deň*")</f>
        <v>0</v>
      </c>
      <c r="Q11" s="277">
        <f>COUNTIF('Január-December'!AB246:AB275,"*0/8*")</f>
        <v>0</v>
      </c>
      <c r="R11" s="277">
        <f>COUNTIF('Január-December'!AB246:AB275,"*8/8*")</f>
        <v>5</v>
      </c>
      <c r="S11" s="76">
        <f t="shared" si="0"/>
        <v>21</v>
      </c>
      <c r="T11" s="277">
        <f>COUNTIF('Január-December'!W246:W275,"*N*")</f>
        <v>2</v>
      </c>
      <c r="U11" s="277">
        <f>COUNTIF('Január-December'!W246:W275,"*Z*")</f>
        <v>19</v>
      </c>
      <c r="V11" s="76">
        <f>COUNTIF('Január-December'!W246:W275,"*D*")</f>
        <v>21</v>
      </c>
      <c r="W11" s="76">
        <f>COUNTIF('Január-December'!W246:W275,"*K*")</f>
        <v>0</v>
      </c>
      <c r="X11" s="76">
        <f>COUNTIF('Január-December'!W246:W275,"*S*")</f>
        <v>0</v>
      </c>
      <c r="Y11" s="76">
        <f>COUNTIF('Január-December'!W245:W274,"*U*")</f>
        <v>0</v>
      </c>
      <c r="Z11" s="76">
        <f t="shared" si="2"/>
        <v>0</v>
      </c>
      <c r="AA11" s="76">
        <f>COUNTIF('Január-December'!AB246:AB275,"*SSP*")</f>
        <v>0</v>
      </c>
      <c r="AB11" s="76">
        <f>COUNTIF('Január-December'!AB246:AB275,"*NSP*")</f>
        <v>0</v>
      </c>
      <c r="AC11" s="76">
        <f>COUNTIF('Január-December'!AB246:AB275,"*poprašok*")</f>
        <v>0</v>
      </c>
    </row>
    <row r="12" spans="1:30" s="76" customFormat="1" ht="15" customHeight="1" x14ac:dyDescent="0.3">
      <c r="A12" s="71" t="s">
        <v>32</v>
      </c>
      <c r="B12" s="76">
        <f>COUNTIF('Január-December'!E276:E306,"&lt;=-10")</f>
        <v>0</v>
      </c>
      <c r="C12" s="76">
        <f>COUNTIF('Január-December'!E276:E306,"&lt;=-0.1")</f>
        <v>0</v>
      </c>
      <c r="D12" s="76">
        <f>COUNTIF('Január-December'!F276:F306,"&lt;=0")</f>
        <v>3</v>
      </c>
      <c r="E12" s="76">
        <f>COUNTIF('Január-December'!E276:E306,"&gt;="&amp;25)</f>
        <v>0</v>
      </c>
      <c r="F12" s="76">
        <f>COUNTIF('Január-December'!E276:E306,"&gt;=30")</f>
        <v>0</v>
      </c>
      <c r="G12" s="76">
        <f>COUNTIF('Január-December'!AB276:AB306,"*tropická noc*")</f>
        <v>0</v>
      </c>
      <c r="H12" s="76">
        <f>COUNTIF(búrky!E195:E197,"*w*")</f>
        <v>1</v>
      </c>
      <c r="I12" s="76">
        <f>COUNTIF(búrky!E195:E197,"*P*")</f>
        <v>0</v>
      </c>
      <c r="J12" s="71">
        <f>COUNTIF(búrky!E195:E197,"*L*")</f>
        <v>0</v>
      </c>
      <c r="K12" s="81">
        <f>COUNTIF(búrky!E195:E197,"*V*")</f>
        <v>1</v>
      </c>
      <c r="L12" s="83">
        <f t="shared" si="1"/>
        <v>1</v>
      </c>
      <c r="M12" s="76">
        <f>COUNTIF('Január-December'!AB276:AB306,"*zákal*")</f>
        <v>0</v>
      </c>
      <c r="N12" s="76">
        <f>COUNTIF('Január-December'!AB276:AB306,"*dymno*")</f>
        <v>6</v>
      </c>
      <c r="O12" s="76">
        <f>COUNTIF('Január-December'!AB276:AB306,"*hmla*")</f>
        <v>20</v>
      </c>
      <c r="P12" s="76">
        <f>COUNTIF('Január-December'!AB276:AB306,"*slnečný deň*")</f>
        <v>1</v>
      </c>
      <c r="Q12" s="277">
        <f>COUNTIF('Január-December'!AB276:AB306,"*0/8*")</f>
        <v>0</v>
      </c>
      <c r="R12" s="277">
        <f>COUNTIF('Január-December'!AB276:AB306,"*8/8*")</f>
        <v>7</v>
      </c>
      <c r="S12" s="76">
        <f t="shared" si="0"/>
        <v>11</v>
      </c>
      <c r="T12" s="277">
        <f>COUNTIF('Január-December'!W276:W306,"*N*")</f>
        <v>2</v>
      </c>
      <c r="U12" s="277">
        <f>COUNTIF('Január-December'!W276:W306,"*Z*")</f>
        <v>9</v>
      </c>
      <c r="V12" s="76">
        <f>COUNTIF('Január-December'!W276:W306,"*D*")</f>
        <v>11</v>
      </c>
      <c r="W12" s="76">
        <f>COUNTIF('Január-December'!W276:W306,"*K*")</f>
        <v>0</v>
      </c>
      <c r="X12" s="76">
        <f>COUNTIF('Január-December'!W276:W306,"*S*")</f>
        <v>0</v>
      </c>
      <c r="Y12" s="76">
        <f>COUNTIF('Január-December'!W275:W305,"*U*")</f>
        <v>0</v>
      </c>
      <c r="Z12" s="76">
        <f t="shared" si="2"/>
        <v>0</v>
      </c>
      <c r="AA12" s="76">
        <f>COUNTIF('Január-December'!AB276:AB306,"*SSP*")</f>
        <v>0</v>
      </c>
      <c r="AB12" s="76">
        <f>COUNTIF('Január-December'!AB276:AB306,"*NSP*")</f>
        <v>0</v>
      </c>
      <c r="AC12" s="76">
        <f>COUNTIF('Január-December'!AB276:AB306,"*poprašok*")</f>
        <v>0</v>
      </c>
    </row>
    <row r="13" spans="1:30" s="76" customFormat="1" x14ac:dyDescent="0.3">
      <c r="A13" s="71" t="s">
        <v>33</v>
      </c>
      <c r="B13" s="76">
        <f>COUNTIF('Január-December'!E307:E336,"&lt;=-10")</f>
        <v>0</v>
      </c>
      <c r="C13" s="76">
        <f>COUNTIF('Január-December'!E307:E336,"&lt;=-0.1")</f>
        <v>0</v>
      </c>
      <c r="D13" s="76">
        <f>COUNTIF('Január-December'!F307:F336,"&lt;=0")</f>
        <v>10</v>
      </c>
      <c r="E13" s="76">
        <f>COUNTIF('Január-December'!E307:E336,"&gt;="&amp;25)</f>
        <v>0</v>
      </c>
      <c r="F13" s="76">
        <f>COUNTIF('Január-December'!E307:E336,"&gt;=30")</f>
        <v>0</v>
      </c>
      <c r="G13" s="76">
        <f>COUNTIF('Január-December'!AB307:AB336,"*tropická noc*")</f>
        <v>0</v>
      </c>
      <c r="H13" s="76">
        <f>COUNTIF(búrky!E210:E212,"*w*")</f>
        <v>0</v>
      </c>
      <c r="I13" s="76">
        <f>COUNTIF(búrky!E210:E212,"*P*")</f>
        <v>0</v>
      </c>
      <c r="J13" s="71">
        <f>COUNTIF(búrky!E210:E212,"*L*")</f>
        <v>0</v>
      </c>
      <c r="K13" s="81">
        <f>COUNTIF(búrky!E210:E212,"*V*")</f>
        <v>0</v>
      </c>
      <c r="L13" s="83">
        <f t="shared" si="1"/>
        <v>0</v>
      </c>
      <c r="M13" s="76">
        <f>COUNTIF('Január-December'!AB307:AB336,"*zákal*")</f>
        <v>0</v>
      </c>
      <c r="N13" s="76">
        <f>COUNTIF('Január-December'!AB307:AB336,"*dymno*")</f>
        <v>8</v>
      </c>
      <c r="O13" s="76">
        <f>COUNTIF('Január-December'!AB307:AB336,"*hmla*")</f>
        <v>17</v>
      </c>
      <c r="P13" s="76">
        <f>COUNTIF('Január-December'!AB307:AB336,"*slnečný deň*")</f>
        <v>0</v>
      </c>
      <c r="Q13" s="277">
        <f>COUNTIF('Január-December'!AB307:AB336,"*0/8*")</f>
        <v>0</v>
      </c>
      <c r="R13" s="277">
        <f>COUNTIF('Január-December'!AB307:AB336,"*8/8*")</f>
        <v>15</v>
      </c>
      <c r="S13" s="76">
        <f t="shared" si="0"/>
        <v>10</v>
      </c>
      <c r="T13" s="277">
        <f>COUNTIF('Január-December'!W307:W336,"*N*")</f>
        <v>4</v>
      </c>
      <c r="U13" s="277">
        <f>COUNTIF('Január-December'!W307:W336,"*Z*")</f>
        <v>6</v>
      </c>
      <c r="V13" s="76">
        <f>COUNTIF('Január-December'!W307:W336,"*D*")</f>
        <v>8</v>
      </c>
      <c r="W13" s="76">
        <f>COUNTIF('Január-December'!W307:W336,"*K*")</f>
        <v>0</v>
      </c>
      <c r="X13" s="76">
        <f>COUNTIF('Január-December'!W307:W336,"*S*")</f>
        <v>5</v>
      </c>
      <c r="Y13" s="76">
        <f>COUNTIF('Január-December'!W306:W335,"*U*")</f>
        <v>1</v>
      </c>
      <c r="Z13" s="76">
        <f t="shared" si="2"/>
        <v>4</v>
      </c>
      <c r="AA13" s="76">
        <f>COUNTIF('Január-December'!AB307:AB336,"*SSP*")</f>
        <v>2</v>
      </c>
      <c r="AB13" s="76">
        <f>COUNTIF('Január-December'!AB307:AB336,"*NSP*")</f>
        <v>2</v>
      </c>
      <c r="AC13" s="76">
        <f>COUNTIF('Január-December'!AB307:AB336,"*poprašok*")</f>
        <v>0</v>
      </c>
    </row>
    <row r="14" spans="1:30" s="78" customFormat="1" ht="15" thickBot="1" x14ac:dyDescent="0.35">
      <c r="A14" s="77" t="s">
        <v>34</v>
      </c>
      <c r="B14" s="78">
        <f>COUNTIF('Január-December'!E337:E367,"&lt;=-10")</f>
        <v>0</v>
      </c>
      <c r="C14" s="78">
        <f>COUNTIF('Január-December'!E337:E367,"&lt;=-0.1")</f>
        <v>3</v>
      </c>
      <c r="D14" s="78">
        <f>COUNTIF('Január-December'!F337:F367,"&lt;=0")</f>
        <v>23</v>
      </c>
      <c r="E14" s="78">
        <f>COUNTIF('Január-December'!E337:E367,"&gt;="&amp;25)</f>
        <v>0</v>
      </c>
      <c r="F14" s="78">
        <f>COUNTIF('Január-December'!E337:E367,"&gt;=30")</f>
        <v>0</v>
      </c>
      <c r="G14" s="78">
        <f>COUNTIF('Január-December'!AB337:AB367,"*tropická noc*")</f>
        <v>0</v>
      </c>
      <c r="H14" s="78">
        <f>COUNTIF(búrky!E225:E227,"*w*")</f>
        <v>0</v>
      </c>
      <c r="I14" s="78">
        <f>COUNTIF(búrky!E225:E227,"*P*")</f>
        <v>0</v>
      </c>
      <c r="J14" s="77">
        <f>COUNTIF(búrky!E225:E227,"*L*")</f>
        <v>0</v>
      </c>
      <c r="K14" s="264">
        <f>COUNTIF(búrky!E225:E227,"*V*")</f>
        <v>0</v>
      </c>
      <c r="L14" s="83">
        <f t="shared" si="1"/>
        <v>0</v>
      </c>
      <c r="M14" s="78">
        <f>COUNTIF('Január-December'!AB337:AB367,"*zákal*")</f>
        <v>0</v>
      </c>
      <c r="N14" s="78">
        <f>COUNTIF('Január-December'!AB337:AB367,"*dymno*")</f>
        <v>6</v>
      </c>
      <c r="O14" s="78">
        <f>COUNTIF('Január-December'!AB337:AB367,"*hmla*")</f>
        <v>9</v>
      </c>
      <c r="P14" s="78">
        <f>COUNTIF('Január-December'!AB337:AB367,"*slnečný deň*")</f>
        <v>0</v>
      </c>
      <c r="Q14" s="278">
        <f>COUNTIF('Január-December'!AB337:AB367,"*0/8*")</f>
        <v>0</v>
      </c>
      <c r="R14" s="278">
        <f>COUNTIF('Január-December'!AB337:AB367,"*8/8*")</f>
        <v>21</v>
      </c>
      <c r="S14" s="78">
        <f t="shared" si="0"/>
        <v>18</v>
      </c>
      <c r="T14" s="278">
        <f>COUNTIF('Január-December'!W337:W367,"*N*")</f>
        <v>4</v>
      </c>
      <c r="U14" s="278">
        <f>COUNTIF('Január-December'!W337:W367,"*Z*")</f>
        <v>14</v>
      </c>
      <c r="V14" s="78">
        <f>COUNTIF('Január-December'!W337:W367,"*D*")</f>
        <v>14</v>
      </c>
      <c r="W14" s="78">
        <f>COUNTIF('Január-December'!W337:W367,"*K*")</f>
        <v>0</v>
      </c>
      <c r="X14" s="78">
        <f>COUNTIF('Január-December'!W337:W367,"*S*")</f>
        <v>7</v>
      </c>
      <c r="Y14" s="78">
        <f>COUNTIF('Január-December'!W336:W366,"*U*")</f>
        <v>0</v>
      </c>
      <c r="Z14" s="76">
        <f t="shared" si="2"/>
        <v>16</v>
      </c>
      <c r="AA14" s="78">
        <f>COUNTIF('Január-December'!AB337:AB367,"*SSP*")</f>
        <v>13</v>
      </c>
      <c r="AB14" s="78">
        <f>COUNTIF('Január-December'!AB337:AB367,"*NSP*")</f>
        <v>3</v>
      </c>
      <c r="AC14" s="78">
        <f>COUNTIF('Január-December'!AB337:AB367,"*poprašok*")</f>
        <v>0</v>
      </c>
    </row>
    <row r="15" spans="1:30" s="80" customFormat="1" ht="16.2" thickBot="1" x14ac:dyDescent="0.35">
      <c r="A15" s="79">
        <v>2021</v>
      </c>
      <c r="B15" s="265">
        <f t="shared" ref="B15:AC15" si="3">SUM(B3:B14)</f>
        <v>0</v>
      </c>
      <c r="C15" s="80">
        <f t="shared" si="3"/>
        <v>12</v>
      </c>
      <c r="D15" s="80">
        <f t="shared" si="3"/>
        <v>123</v>
      </c>
      <c r="E15" s="80">
        <f t="shared" si="3"/>
        <v>104</v>
      </c>
      <c r="F15" s="80">
        <f t="shared" si="3"/>
        <v>41</v>
      </c>
      <c r="G15" s="80">
        <f t="shared" si="3"/>
        <v>0</v>
      </c>
      <c r="H15" s="80">
        <f t="shared" si="3"/>
        <v>29</v>
      </c>
      <c r="I15" s="80">
        <f t="shared" si="3"/>
        <v>9</v>
      </c>
      <c r="J15" s="80">
        <f t="shared" si="3"/>
        <v>11</v>
      </c>
      <c r="K15" s="82">
        <f t="shared" si="3"/>
        <v>18</v>
      </c>
      <c r="L15" s="84">
        <f>SUM(L3:L14)</f>
        <v>38</v>
      </c>
      <c r="M15" s="84">
        <f>SUM(M3:M14)</f>
        <v>0</v>
      </c>
      <c r="N15" s="84">
        <f>SUM(N3:N14)</f>
        <v>46</v>
      </c>
      <c r="O15" s="80">
        <f t="shared" si="3"/>
        <v>89</v>
      </c>
      <c r="P15" s="84">
        <f>SUM(P3:P14)</f>
        <v>53</v>
      </c>
      <c r="Q15" s="84">
        <f t="shared" si="3"/>
        <v>6</v>
      </c>
      <c r="R15" s="84">
        <f t="shared" si="3"/>
        <v>71</v>
      </c>
      <c r="S15" s="80">
        <f t="shared" si="3"/>
        <v>169</v>
      </c>
      <c r="T15" s="84">
        <f>SUM(T3:T14)</f>
        <v>42</v>
      </c>
      <c r="U15" s="84">
        <f t="shared" si="3"/>
        <v>127</v>
      </c>
      <c r="V15" s="80">
        <f t="shared" si="3"/>
        <v>142</v>
      </c>
      <c r="W15" s="80">
        <f t="shared" si="3"/>
        <v>1</v>
      </c>
      <c r="X15" s="80">
        <f t="shared" si="3"/>
        <v>45</v>
      </c>
      <c r="Y15" s="80">
        <f>SUM(Y3:Y14)</f>
        <v>1</v>
      </c>
      <c r="Z15" s="80">
        <f t="shared" si="3"/>
        <v>55</v>
      </c>
      <c r="AA15" s="80">
        <f t="shared" si="3"/>
        <v>29</v>
      </c>
      <c r="AB15" s="80">
        <f t="shared" si="3"/>
        <v>20</v>
      </c>
      <c r="AC15" s="267">
        <f t="shared" si="3"/>
        <v>6</v>
      </c>
      <c r="AD15" s="82"/>
    </row>
  </sheetData>
  <mergeCells count="6">
    <mergeCell ref="M1:R1"/>
    <mergeCell ref="Z1:AC1"/>
    <mergeCell ref="A1:A2"/>
    <mergeCell ref="B1:G1"/>
    <mergeCell ref="H1:L1"/>
    <mergeCell ref="S1:Y1"/>
  </mergeCells>
  <conditionalFormatting sqref="B3:L14 N3:AA14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AC3:AC14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AB3:AB14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M3:M14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ignoredErrors>
    <ignoredError sqref="B14:C14 B3:C3 D3:G3 B4:C4 D4:G4 B5:C5 D5:G5 B6:C6 D6:G6 B7:C7 D7:G7 B8:C8 D8:G8 B9:C9 D9:G9 B10:C10 D10:G10 B11:C11 D11:G11 B12:C12 D12:G12 B13:C13 D13:G13 D14:G14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Január-December</vt:lpstr>
      <vt:lpstr>búrky</vt:lpstr>
      <vt:lpstr>2022</vt:lpstr>
      <vt:lpstr>2022 dni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Fedor</dc:creator>
  <cp:lastModifiedBy>Tomáš Fedor</cp:lastModifiedBy>
  <dcterms:created xsi:type="dcterms:W3CDTF">2015-02-14T11:41:41Z</dcterms:created>
  <dcterms:modified xsi:type="dcterms:W3CDTF">2023-01-01T14:07:35Z</dcterms:modified>
</cp:coreProperties>
</file>