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x data\meteo data\"/>
    </mc:Choice>
  </mc:AlternateContent>
  <xr:revisionPtr revIDLastSave="0" documentId="13_ncr:1_{3BCD23F5-1B8B-4697-8604-E8FB5FC15FD6}" xr6:coauthVersionLast="47" xr6:coauthVersionMax="47" xr10:uidLastSave="{00000000-0000-0000-0000-000000000000}"/>
  <bookViews>
    <workbookView xWindow="-108" yWindow="-108" windowWidth="23256" windowHeight="12576" tabRatio="772" xr2:uid="{00000000-000D-0000-FFFF-FFFF00000000}"/>
  </bookViews>
  <sheets>
    <sheet name="Január-December" sheetId="2" r:id="rId1"/>
    <sheet name="búrky" sheetId="17" r:id="rId2"/>
    <sheet name="2024" sheetId="1" r:id="rId3"/>
    <sheet name="2024 dni" sheetId="20" r:id="rId4"/>
  </sheets>
  <definedNames>
    <definedName name="_xlnm._FilterDatabase" localSheetId="2" hidden="1">'2024'!$A$3:$A$15</definedName>
    <definedName name="Indoor_Temperature_°C">#REF!</definedName>
    <definedName name="Ti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8" i="2" l="1"/>
  <c r="G368" i="2"/>
  <c r="H367" i="2"/>
  <c r="G367" i="2"/>
  <c r="H366" i="2"/>
  <c r="G366" i="2"/>
  <c r="H365" i="2"/>
  <c r="G365" i="2"/>
  <c r="H364" i="2"/>
  <c r="G364" i="2"/>
  <c r="H363" i="2"/>
  <c r="G363" i="2"/>
  <c r="H362" i="2"/>
  <c r="G362" i="2"/>
  <c r="H361" i="2"/>
  <c r="G361" i="2"/>
  <c r="H360" i="2"/>
  <c r="G360" i="2"/>
  <c r="H359" i="2"/>
  <c r="G359" i="2"/>
  <c r="H358" i="2"/>
  <c r="G358" i="2"/>
  <c r="H357" i="2"/>
  <c r="G357" i="2"/>
  <c r="H356" i="2"/>
  <c r="G356" i="2"/>
  <c r="H355" i="2"/>
  <c r="G355" i="2"/>
  <c r="H354" i="2"/>
  <c r="G354" i="2"/>
  <c r="H353" i="2"/>
  <c r="G353" i="2"/>
  <c r="H352" i="2"/>
  <c r="G352" i="2"/>
  <c r="H351" i="2"/>
  <c r="G351" i="2"/>
  <c r="H350" i="2"/>
  <c r="G350" i="2"/>
  <c r="H349" i="2"/>
  <c r="G349" i="2"/>
  <c r="H348" i="2"/>
  <c r="G348" i="2"/>
  <c r="H347" i="2"/>
  <c r="G347" i="2"/>
  <c r="H346" i="2"/>
  <c r="G346" i="2"/>
  <c r="H345" i="2"/>
  <c r="G345" i="2"/>
  <c r="H344" i="2"/>
  <c r="G344" i="2"/>
  <c r="H343" i="2"/>
  <c r="G343" i="2"/>
  <c r="H342" i="2"/>
  <c r="G342" i="2"/>
  <c r="H341" i="2"/>
  <c r="G341" i="2"/>
  <c r="H340" i="2"/>
  <c r="G340" i="2"/>
  <c r="H339" i="2"/>
  <c r="G339" i="2"/>
  <c r="H338" i="2"/>
  <c r="G338" i="2"/>
  <c r="H337" i="2"/>
  <c r="G337" i="2"/>
  <c r="H336" i="2"/>
  <c r="G336" i="2"/>
  <c r="H335" i="2"/>
  <c r="G335" i="2"/>
  <c r="H334" i="2"/>
  <c r="G334" i="2"/>
  <c r="H333" i="2"/>
  <c r="G333" i="2"/>
  <c r="H332" i="2"/>
  <c r="G332" i="2"/>
  <c r="H331" i="2"/>
  <c r="G331" i="2"/>
  <c r="H330" i="2"/>
  <c r="G330" i="2"/>
  <c r="H329" i="2"/>
  <c r="G329" i="2"/>
  <c r="H328" i="2"/>
  <c r="G328" i="2"/>
  <c r="H327" i="2"/>
  <c r="G327" i="2"/>
  <c r="H326" i="2"/>
  <c r="G326" i="2"/>
  <c r="H325" i="2"/>
  <c r="G325" i="2"/>
  <c r="H324" i="2"/>
  <c r="G324" i="2"/>
  <c r="H323" i="2"/>
  <c r="G323" i="2"/>
  <c r="H322" i="2"/>
  <c r="G322" i="2"/>
  <c r="H321" i="2"/>
  <c r="G321" i="2"/>
  <c r="H320" i="2"/>
  <c r="G320" i="2"/>
  <c r="H319" i="2"/>
  <c r="G319" i="2"/>
  <c r="H318" i="2"/>
  <c r="G318" i="2"/>
  <c r="H317" i="2"/>
  <c r="G317" i="2"/>
  <c r="H316" i="2"/>
  <c r="G316" i="2"/>
  <c r="H315" i="2"/>
  <c r="G315" i="2"/>
  <c r="H314" i="2"/>
  <c r="G314" i="2"/>
  <c r="H313" i="2"/>
  <c r="G313" i="2"/>
  <c r="H312" i="2"/>
  <c r="G312" i="2"/>
  <c r="H311" i="2"/>
  <c r="G311" i="2"/>
  <c r="H310" i="2"/>
  <c r="G310" i="2"/>
  <c r="H309" i="2"/>
  <c r="G309" i="2"/>
  <c r="H308" i="2"/>
  <c r="G308" i="2"/>
  <c r="H307" i="2"/>
  <c r="G307" i="2"/>
  <c r="H306" i="2"/>
  <c r="G306" i="2"/>
  <c r="H305" i="2"/>
  <c r="G305" i="2"/>
  <c r="H304" i="2"/>
  <c r="G304" i="2"/>
  <c r="H303" i="2"/>
  <c r="G303" i="2"/>
  <c r="H302" i="2"/>
  <c r="G302" i="2"/>
  <c r="H301" i="2"/>
  <c r="G301" i="2"/>
  <c r="H300" i="2"/>
  <c r="G300" i="2"/>
  <c r="H299" i="2"/>
  <c r="G299" i="2"/>
  <c r="H298" i="2"/>
  <c r="G298" i="2"/>
  <c r="H297" i="2"/>
  <c r="G297" i="2"/>
  <c r="H296" i="2"/>
  <c r="G296" i="2"/>
  <c r="H295" i="2"/>
  <c r="G295" i="2"/>
  <c r="H294" i="2"/>
  <c r="G294" i="2"/>
  <c r="H293" i="2"/>
  <c r="G293" i="2"/>
  <c r="H292" i="2"/>
  <c r="G292" i="2"/>
  <c r="H291" i="2"/>
  <c r="G291" i="2"/>
  <c r="H290" i="2"/>
  <c r="G290" i="2"/>
  <c r="H289" i="2"/>
  <c r="G289" i="2"/>
  <c r="H288" i="2"/>
  <c r="G288" i="2"/>
  <c r="H287" i="2"/>
  <c r="G287" i="2"/>
  <c r="H286" i="2"/>
  <c r="G286" i="2"/>
  <c r="H285" i="2"/>
  <c r="G285" i="2"/>
  <c r="H284" i="2"/>
  <c r="G284" i="2"/>
  <c r="H283" i="2"/>
  <c r="G283" i="2"/>
  <c r="H282" i="2"/>
  <c r="G282" i="2"/>
  <c r="H281" i="2"/>
  <c r="G281" i="2"/>
  <c r="H280" i="2"/>
  <c r="G280" i="2"/>
  <c r="H279" i="2"/>
  <c r="G279" i="2"/>
  <c r="H278" i="2"/>
  <c r="G278" i="2"/>
  <c r="H277" i="2"/>
  <c r="G277" i="2"/>
  <c r="H276" i="2"/>
  <c r="G276" i="2"/>
  <c r="H275" i="2"/>
  <c r="G275" i="2"/>
  <c r="H274" i="2"/>
  <c r="G274" i="2"/>
  <c r="H273" i="2"/>
  <c r="G273" i="2"/>
  <c r="H272" i="2"/>
  <c r="G272" i="2"/>
  <c r="H271" i="2"/>
  <c r="G271" i="2"/>
  <c r="H270" i="2"/>
  <c r="G270" i="2"/>
  <c r="H269" i="2"/>
  <c r="G269" i="2"/>
  <c r="H268" i="2"/>
  <c r="G268" i="2"/>
  <c r="H267" i="2"/>
  <c r="G267" i="2"/>
  <c r="H266" i="2"/>
  <c r="G266" i="2"/>
  <c r="H265" i="2"/>
  <c r="G265" i="2"/>
  <c r="H264" i="2"/>
  <c r="G264" i="2"/>
  <c r="H263" i="2"/>
  <c r="G263" i="2"/>
  <c r="H262" i="2"/>
  <c r="G262" i="2"/>
  <c r="H261" i="2"/>
  <c r="G261" i="2"/>
  <c r="H260" i="2"/>
  <c r="G260" i="2"/>
  <c r="H259" i="2"/>
  <c r="G259" i="2"/>
  <c r="H258" i="2"/>
  <c r="G258" i="2"/>
  <c r="H257" i="2"/>
  <c r="G257" i="2"/>
  <c r="H256" i="2"/>
  <c r="G256" i="2"/>
  <c r="H255" i="2"/>
  <c r="G255" i="2"/>
  <c r="H254" i="2"/>
  <c r="G254" i="2"/>
  <c r="H253" i="2"/>
  <c r="G253" i="2"/>
  <c r="H252" i="2"/>
  <c r="G252" i="2"/>
  <c r="H251" i="2"/>
  <c r="G251" i="2"/>
  <c r="H250" i="2"/>
  <c r="G250" i="2"/>
  <c r="H249" i="2"/>
  <c r="G249" i="2"/>
  <c r="H248" i="2"/>
  <c r="G248" i="2"/>
  <c r="H247" i="2"/>
  <c r="G247" i="2"/>
  <c r="H246" i="2" l="1"/>
  <c r="G246" i="2"/>
  <c r="H245" i="2"/>
  <c r="G245" i="2"/>
  <c r="H244" i="2"/>
  <c r="G244" i="2"/>
  <c r="H243" i="2"/>
  <c r="G243" i="2"/>
  <c r="H242" i="2"/>
  <c r="G242" i="2"/>
  <c r="H241" i="2"/>
  <c r="G241" i="2"/>
  <c r="H240" i="2"/>
  <c r="G240" i="2"/>
  <c r="H239" i="2"/>
  <c r="G239" i="2"/>
  <c r="H238" i="2"/>
  <c r="G238" i="2"/>
  <c r="H237" i="2"/>
  <c r="G237" i="2"/>
  <c r="H236" i="2"/>
  <c r="G236" i="2"/>
  <c r="H235" i="2"/>
  <c r="G235" i="2"/>
  <c r="H234" i="2"/>
  <c r="G234" i="2"/>
  <c r="H233" i="2"/>
  <c r="G233" i="2"/>
  <c r="H232" i="2"/>
  <c r="G232" i="2"/>
  <c r="H231" i="2"/>
  <c r="G231" i="2"/>
  <c r="H230" i="2"/>
  <c r="G230" i="2"/>
  <c r="H229" i="2"/>
  <c r="G229" i="2"/>
  <c r="H228" i="2"/>
  <c r="G228" i="2"/>
  <c r="H227" i="2"/>
  <c r="G227" i="2"/>
  <c r="H226" i="2"/>
  <c r="G226" i="2"/>
  <c r="H225" i="2"/>
  <c r="G225" i="2"/>
  <c r="H224" i="2"/>
  <c r="G224" i="2"/>
  <c r="H223" i="2"/>
  <c r="G223" i="2"/>
  <c r="H222" i="2"/>
  <c r="G222" i="2"/>
  <c r="H221" i="2"/>
  <c r="G221" i="2"/>
  <c r="H220" i="2"/>
  <c r="G220" i="2"/>
  <c r="H219" i="2"/>
  <c r="G219" i="2"/>
  <c r="H218" i="2"/>
  <c r="G218" i="2"/>
  <c r="H217" i="2"/>
  <c r="G217" i="2"/>
  <c r="H216" i="2"/>
  <c r="G216" i="2"/>
  <c r="H185" i="2" l="1"/>
  <c r="H215" i="2"/>
  <c r="G215" i="2"/>
  <c r="H214" i="2"/>
  <c r="G214" i="2"/>
  <c r="H213" i="2"/>
  <c r="G213" i="2"/>
  <c r="H212" i="2"/>
  <c r="G212" i="2"/>
  <c r="H211" i="2"/>
  <c r="G211" i="2"/>
  <c r="H210" i="2"/>
  <c r="G210" i="2"/>
  <c r="H209" i="2"/>
  <c r="G209" i="2"/>
  <c r="H208" i="2"/>
  <c r="G208" i="2"/>
  <c r="H207" i="2"/>
  <c r="G207" i="2"/>
  <c r="H206" i="2"/>
  <c r="G206" i="2"/>
  <c r="H205" i="2"/>
  <c r="G205" i="2"/>
  <c r="H204" i="2"/>
  <c r="G204" i="2"/>
  <c r="H203" i="2"/>
  <c r="G203" i="2"/>
  <c r="H202" i="2"/>
  <c r="G202" i="2"/>
  <c r="H201" i="2"/>
  <c r="G201" i="2"/>
  <c r="H200" i="2"/>
  <c r="G200" i="2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7" i="2"/>
  <c r="G187" i="2"/>
  <c r="H186" i="2"/>
  <c r="G186" i="2"/>
  <c r="G185" i="2"/>
  <c r="G164" i="2"/>
  <c r="H184" i="2"/>
  <c r="G184" i="2"/>
  <c r="H183" i="2"/>
  <c r="G183" i="2"/>
  <c r="H182" i="2"/>
  <c r="G182" i="2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H163" i="2"/>
  <c r="G163" i="2"/>
  <c r="H162" i="2"/>
  <c r="G162" i="2"/>
  <c r="H161" i="2"/>
  <c r="G161" i="2"/>
  <c r="H160" i="2"/>
  <c r="G160" i="2"/>
  <c r="H159" i="2"/>
  <c r="G159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4" i="2"/>
  <c r="G144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 l="1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 l="1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I4" i="1" s="1"/>
  <c r="H40" i="2"/>
  <c r="H39" i="2"/>
  <c r="H38" i="2"/>
  <c r="H37" i="2"/>
  <c r="H36" i="2"/>
  <c r="H35" i="2"/>
  <c r="H34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AF4" i="1"/>
  <c r="AE4" i="1"/>
  <c r="AD4" i="1"/>
  <c r="AC4" i="1"/>
  <c r="AB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G4" i="1"/>
  <c r="C4" i="1"/>
  <c r="B4" i="1"/>
  <c r="AC4" i="20"/>
  <c r="AB4" i="20"/>
  <c r="AA4" i="20"/>
  <c r="Y4" i="20"/>
  <c r="X4" i="20"/>
  <c r="W4" i="20"/>
  <c r="V4" i="20"/>
  <c r="U4" i="20"/>
  <c r="T4" i="20"/>
  <c r="R4" i="20"/>
  <c r="Q4" i="20"/>
  <c r="P4" i="20"/>
  <c r="O4" i="20"/>
  <c r="N4" i="20"/>
  <c r="M4" i="20"/>
  <c r="G4" i="20"/>
  <c r="F4" i="20"/>
  <c r="E4" i="20"/>
  <c r="D4" i="20"/>
  <c r="C4" i="20"/>
  <c r="B4" i="20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  <c r="F4" i="1" l="1"/>
  <c r="H4" i="1"/>
  <c r="D4" i="1"/>
  <c r="E4" i="1"/>
  <c r="H254" i="17"/>
  <c r="H253" i="17"/>
  <c r="H252" i="17"/>
  <c r="H251" i="17"/>
  <c r="H249" i="17"/>
  <c r="H248" i="17"/>
  <c r="H247" i="17"/>
  <c r="H246" i="17"/>
  <c r="H245" i="17"/>
  <c r="H240" i="17"/>
  <c r="H239" i="17"/>
  <c r="H238" i="17"/>
  <c r="H237" i="17"/>
  <c r="H235" i="17"/>
  <c r="H234" i="17"/>
  <c r="H233" i="17"/>
  <c r="H232" i="17"/>
  <c r="H231" i="17"/>
  <c r="H225" i="17"/>
  <c r="H224" i="17"/>
  <c r="H223" i="17"/>
  <c r="H222" i="17"/>
  <c r="H220" i="17"/>
  <c r="H219" i="17"/>
  <c r="H218" i="17"/>
  <c r="H217" i="17"/>
  <c r="H216" i="17"/>
  <c r="H210" i="17"/>
  <c r="H209" i="17"/>
  <c r="H208" i="17"/>
  <c r="H207" i="17"/>
  <c r="H205" i="17"/>
  <c r="H204" i="17"/>
  <c r="H203" i="17"/>
  <c r="H202" i="17"/>
  <c r="H201" i="17"/>
  <c r="H195" i="17"/>
  <c r="H194" i="17"/>
  <c r="H193" i="17"/>
  <c r="H192" i="17"/>
  <c r="H190" i="17"/>
  <c r="H189" i="17"/>
  <c r="H188" i="17"/>
  <c r="H187" i="17"/>
  <c r="H186" i="17"/>
  <c r="H176" i="17"/>
  <c r="H175" i="17"/>
  <c r="H174" i="17"/>
  <c r="H173" i="17"/>
  <c r="H171" i="17"/>
  <c r="H170" i="17"/>
  <c r="H169" i="17"/>
  <c r="H168" i="17"/>
  <c r="H167" i="17"/>
  <c r="H147" i="17"/>
  <c r="H146" i="17"/>
  <c r="H145" i="17"/>
  <c r="H144" i="17"/>
  <c r="H142" i="17"/>
  <c r="H141" i="17"/>
  <c r="H140" i="17"/>
  <c r="H139" i="17"/>
  <c r="H138" i="17"/>
  <c r="H114" i="17"/>
  <c r="H113" i="17"/>
  <c r="H112" i="17"/>
  <c r="H111" i="17"/>
  <c r="H109" i="17"/>
  <c r="H108" i="17"/>
  <c r="H107" i="17"/>
  <c r="H106" i="17"/>
  <c r="H105" i="17"/>
  <c r="H84" i="17"/>
  <c r="H83" i="17"/>
  <c r="H82" i="17"/>
  <c r="H81" i="17"/>
  <c r="H79" i="17"/>
  <c r="H78" i="17"/>
  <c r="H77" i="17"/>
  <c r="H76" i="17"/>
  <c r="H75" i="17"/>
  <c r="H64" i="17"/>
  <c r="H63" i="17"/>
  <c r="H62" i="17"/>
  <c r="H61" i="17"/>
  <c r="H59" i="17"/>
  <c r="H58" i="17"/>
  <c r="H57" i="17"/>
  <c r="H56" i="17"/>
  <c r="H55" i="17"/>
  <c r="H46" i="17"/>
  <c r="H45" i="17"/>
  <c r="H44" i="17"/>
  <c r="H43" i="17"/>
  <c r="H41" i="17"/>
  <c r="H40" i="17"/>
  <c r="H39" i="17"/>
  <c r="H38" i="17"/>
  <c r="H37" i="17"/>
  <c r="H31" i="17"/>
  <c r="H30" i="17"/>
  <c r="H29" i="17"/>
  <c r="H28" i="17"/>
  <c r="H26" i="17"/>
  <c r="H25" i="17"/>
  <c r="H24" i="17"/>
  <c r="H23" i="17"/>
  <c r="H22" i="17"/>
  <c r="H17" i="17"/>
  <c r="H16" i="17"/>
  <c r="H15" i="17"/>
  <c r="H14" i="17"/>
  <c r="H12" i="17"/>
  <c r="H11" i="17"/>
  <c r="H10" i="17"/>
  <c r="H9" i="17"/>
  <c r="H8" i="17"/>
  <c r="AC14" i="20" l="1"/>
  <c r="AB14" i="20"/>
  <c r="AA14" i="20"/>
  <c r="Y14" i="20"/>
  <c r="X14" i="20"/>
  <c r="W14" i="20"/>
  <c r="V14" i="20"/>
  <c r="U14" i="20"/>
  <c r="T14" i="20"/>
  <c r="R14" i="20"/>
  <c r="Q14" i="20"/>
  <c r="P14" i="20"/>
  <c r="O14" i="20"/>
  <c r="N14" i="20"/>
  <c r="M14" i="20"/>
  <c r="K14" i="20"/>
  <c r="J14" i="20"/>
  <c r="I14" i="20"/>
  <c r="H14" i="20"/>
  <c r="G14" i="20"/>
  <c r="F14" i="20"/>
  <c r="E14" i="20"/>
  <c r="D14" i="20"/>
  <c r="C14" i="20"/>
  <c r="B14" i="20"/>
  <c r="AC13" i="20"/>
  <c r="AB13" i="20"/>
  <c r="AA13" i="20"/>
  <c r="Y13" i="20"/>
  <c r="X13" i="20"/>
  <c r="W13" i="20"/>
  <c r="V13" i="20"/>
  <c r="U13" i="20"/>
  <c r="T13" i="20"/>
  <c r="R13" i="20"/>
  <c r="Q13" i="20"/>
  <c r="P13" i="20"/>
  <c r="O13" i="20"/>
  <c r="N13" i="20"/>
  <c r="M13" i="20"/>
  <c r="K13" i="20"/>
  <c r="J13" i="20"/>
  <c r="I13" i="20"/>
  <c r="H13" i="20"/>
  <c r="G13" i="20"/>
  <c r="F13" i="20"/>
  <c r="E13" i="20"/>
  <c r="D13" i="20"/>
  <c r="C13" i="20"/>
  <c r="B13" i="20"/>
  <c r="AC12" i="20"/>
  <c r="AB12" i="20"/>
  <c r="AA12" i="20"/>
  <c r="Y12" i="20"/>
  <c r="X12" i="20"/>
  <c r="W12" i="20"/>
  <c r="V12" i="20"/>
  <c r="U12" i="20"/>
  <c r="T12" i="20"/>
  <c r="R12" i="20"/>
  <c r="Q12" i="20"/>
  <c r="P12" i="20"/>
  <c r="O12" i="20"/>
  <c r="N12" i="20"/>
  <c r="M12" i="20"/>
  <c r="K12" i="20"/>
  <c r="J12" i="20"/>
  <c r="I12" i="20"/>
  <c r="H12" i="20"/>
  <c r="G12" i="20"/>
  <c r="F12" i="20"/>
  <c r="E12" i="20"/>
  <c r="D12" i="20"/>
  <c r="C12" i="20"/>
  <c r="B12" i="20"/>
  <c r="AC11" i="20"/>
  <c r="AB11" i="20"/>
  <c r="AA11" i="20"/>
  <c r="Y11" i="20"/>
  <c r="X11" i="20"/>
  <c r="W11" i="20"/>
  <c r="V11" i="20"/>
  <c r="U11" i="20"/>
  <c r="T11" i="20"/>
  <c r="R11" i="20"/>
  <c r="Q11" i="20"/>
  <c r="P11" i="20"/>
  <c r="O11" i="20"/>
  <c r="N11" i="20"/>
  <c r="M11" i="20"/>
  <c r="K11" i="20"/>
  <c r="J11" i="20"/>
  <c r="I11" i="20"/>
  <c r="H11" i="20"/>
  <c r="G11" i="20"/>
  <c r="F11" i="20"/>
  <c r="E11" i="20"/>
  <c r="D11" i="20"/>
  <c r="C11" i="20"/>
  <c r="B11" i="20"/>
  <c r="AC10" i="20"/>
  <c r="AB10" i="20"/>
  <c r="AA10" i="20"/>
  <c r="Y10" i="20"/>
  <c r="X10" i="20"/>
  <c r="W10" i="20"/>
  <c r="V10" i="20"/>
  <c r="U10" i="20"/>
  <c r="T10" i="20"/>
  <c r="R10" i="20"/>
  <c r="Q10" i="20"/>
  <c r="P10" i="20"/>
  <c r="O10" i="20"/>
  <c r="N10" i="20"/>
  <c r="M10" i="20"/>
  <c r="K10" i="20"/>
  <c r="J10" i="20"/>
  <c r="I10" i="20"/>
  <c r="H10" i="20"/>
  <c r="G10" i="20"/>
  <c r="F10" i="20"/>
  <c r="E10" i="20"/>
  <c r="D10" i="20"/>
  <c r="C10" i="20"/>
  <c r="B10" i="20"/>
  <c r="AC9" i="20"/>
  <c r="AB9" i="20"/>
  <c r="AA9" i="20"/>
  <c r="Y9" i="20"/>
  <c r="X9" i="20"/>
  <c r="W9" i="20"/>
  <c r="V9" i="20"/>
  <c r="U9" i="20"/>
  <c r="T9" i="20"/>
  <c r="R9" i="20"/>
  <c r="Q9" i="20"/>
  <c r="P9" i="20"/>
  <c r="O9" i="20"/>
  <c r="N9" i="20"/>
  <c r="M9" i="20"/>
  <c r="K9" i="20"/>
  <c r="J9" i="20"/>
  <c r="I9" i="20"/>
  <c r="H9" i="20"/>
  <c r="G9" i="20"/>
  <c r="F9" i="20"/>
  <c r="E9" i="20"/>
  <c r="D9" i="20"/>
  <c r="C9" i="20"/>
  <c r="B9" i="20"/>
  <c r="AC8" i="20"/>
  <c r="AB8" i="20"/>
  <c r="AA8" i="20"/>
  <c r="Y8" i="20"/>
  <c r="X8" i="20"/>
  <c r="W8" i="20"/>
  <c r="V8" i="20"/>
  <c r="U8" i="20"/>
  <c r="T8" i="20"/>
  <c r="R8" i="20"/>
  <c r="Q8" i="20"/>
  <c r="P8" i="20"/>
  <c r="O8" i="20"/>
  <c r="N8" i="20"/>
  <c r="M8" i="20"/>
  <c r="K8" i="20"/>
  <c r="J8" i="20"/>
  <c r="I8" i="20"/>
  <c r="H8" i="20"/>
  <c r="G8" i="20"/>
  <c r="F8" i="20"/>
  <c r="E8" i="20"/>
  <c r="D8" i="20"/>
  <c r="C8" i="20"/>
  <c r="B8" i="20"/>
  <c r="AC7" i="20"/>
  <c r="AB7" i="20"/>
  <c r="AA7" i="20"/>
  <c r="Y7" i="20"/>
  <c r="X7" i="20"/>
  <c r="W7" i="20"/>
  <c r="V7" i="20"/>
  <c r="U7" i="20"/>
  <c r="T7" i="20"/>
  <c r="R7" i="20"/>
  <c r="Q7" i="20"/>
  <c r="P7" i="20"/>
  <c r="O7" i="20"/>
  <c r="N7" i="20"/>
  <c r="M7" i="20"/>
  <c r="K7" i="20"/>
  <c r="J7" i="20"/>
  <c r="I7" i="20"/>
  <c r="H7" i="20"/>
  <c r="G7" i="20"/>
  <c r="F7" i="20"/>
  <c r="E7" i="20"/>
  <c r="D7" i="20"/>
  <c r="C7" i="20"/>
  <c r="B7" i="20"/>
  <c r="AC6" i="20"/>
  <c r="AB6" i="20"/>
  <c r="AA6" i="20"/>
  <c r="Y6" i="20"/>
  <c r="X6" i="20"/>
  <c r="W6" i="20"/>
  <c r="V6" i="20"/>
  <c r="U6" i="20"/>
  <c r="T6" i="20"/>
  <c r="R6" i="20"/>
  <c r="Q6" i="20"/>
  <c r="P6" i="20"/>
  <c r="O6" i="20"/>
  <c r="N6" i="20"/>
  <c r="M6" i="20"/>
  <c r="K6" i="20"/>
  <c r="J6" i="20"/>
  <c r="I6" i="20"/>
  <c r="H6" i="20"/>
  <c r="G6" i="20"/>
  <c r="F6" i="20"/>
  <c r="E6" i="20"/>
  <c r="D6" i="20"/>
  <c r="C6" i="20"/>
  <c r="B6" i="20"/>
  <c r="AC5" i="20"/>
  <c r="AB5" i="20"/>
  <c r="AA5" i="20"/>
  <c r="Y5" i="20"/>
  <c r="X5" i="20"/>
  <c r="W5" i="20"/>
  <c r="V5" i="20"/>
  <c r="U5" i="20"/>
  <c r="T5" i="20"/>
  <c r="R5" i="20"/>
  <c r="Q5" i="20"/>
  <c r="P5" i="20"/>
  <c r="O5" i="20"/>
  <c r="N5" i="20"/>
  <c r="M5" i="20"/>
  <c r="K5" i="20"/>
  <c r="J5" i="20"/>
  <c r="I5" i="20"/>
  <c r="H5" i="20"/>
  <c r="G5" i="20"/>
  <c r="F5" i="20"/>
  <c r="E5" i="20"/>
  <c r="D5" i="20"/>
  <c r="C5" i="20"/>
  <c r="B5" i="20"/>
  <c r="K4" i="20"/>
  <c r="J4" i="20"/>
  <c r="I4" i="20"/>
  <c r="H4" i="20"/>
  <c r="AC3" i="20"/>
  <c r="AB3" i="20"/>
  <c r="AA3" i="20"/>
  <c r="Y3" i="20"/>
  <c r="X3" i="20"/>
  <c r="W3" i="20"/>
  <c r="V3" i="20"/>
  <c r="U3" i="20"/>
  <c r="T3" i="20"/>
  <c r="R3" i="20"/>
  <c r="Q3" i="20"/>
  <c r="P3" i="20"/>
  <c r="O3" i="20"/>
  <c r="N3" i="20"/>
  <c r="M3" i="20"/>
  <c r="K3" i="20"/>
  <c r="J3" i="20"/>
  <c r="I3" i="20"/>
  <c r="H3" i="20"/>
  <c r="G3" i="20"/>
  <c r="F3" i="20"/>
  <c r="E3" i="20"/>
  <c r="D3" i="20"/>
  <c r="C3" i="20"/>
  <c r="B3" i="20"/>
  <c r="AF14" i="1"/>
  <c r="AE14" i="1"/>
  <c r="AD14" i="1"/>
  <c r="AC14" i="1"/>
  <c r="AB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F13" i="1"/>
  <c r="AE13" i="1"/>
  <c r="AD13" i="1"/>
  <c r="AC13" i="1"/>
  <c r="AB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F12" i="1"/>
  <c r="AE12" i="1"/>
  <c r="AD12" i="1"/>
  <c r="AC12" i="1"/>
  <c r="AB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F11" i="1"/>
  <c r="AE11" i="1"/>
  <c r="AD11" i="1"/>
  <c r="AC11" i="1"/>
  <c r="AB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F10" i="1"/>
  <c r="AE10" i="1"/>
  <c r="AD10" i="1"/>
  <c r="AC10" i="1"/>
  <c r="AB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F9" i="1"/>
  <c r="AE9" i="1"/>
  <c r="AD9" i="1"/>
  <c r="AC9" i="1"/>
  <c r="AB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F8" i="1"/>
  <c r="AE8" i="1"/>
  <c r="AD8" i="1"/>
  <c r="AC8" i="1"/>
  <c r="AB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F7" i="1"/>
  <c r="AE7" i="1"/>
  <c r="AD7" i="1"/>
  <c r="AC7" i="1"/>
  <c r="AB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F6" i="1"/>
  <c r="AE6" i="1"/>
  <c r="AD6" i="1"/>
  <c r="AC6" i="1"/>
  <c r="AB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F5" i="1"/>
  <c r="AE5" i="1"/>
  <c r="AD5" i="1"/>
  <c r="AC5" i="1"/>
  <c r="AB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F3" i="1"/>
  <c r="AE3" i="1"/>
  <c r="AD3" i="1"/>
  <c r="AC3" i="1"/>
  <c r="AB3" i="1"/>
  <c r="Z3" i="1"/>
  <c r="Y3" i="1"/>
  <c r="X3" i="1"/>
  <c r="W3" i="1"/>
  <c r="V3" i="1"/>
  <c r="U3" i="1"/>
  <c r="T3" i="1"/>
  <c r="S3" i="1"/>
  <c r="R3" i="1"/>
  <c r="Q3" i="1"/>
  <c r="P3" i="1"/>
  <c r="O3" i="1"/>
  <c r="O15" i="1" s="1"/>
  <c r="N3" i="1"/>
  <c r="M3" i="1"/>
  <c r="L3" i="1"/>
  <c r="K3" i="1"/>
  <c r="J3" i="1"/>
  <c r="I3" i="1"/>
  <c r="H3" i="1"/>
  <c r="G3" i="1"/>
  <c r="F3" i="1"/>
  <c r="E3" i="1"/>
  <c r="D3" i="1"/>
  <c r="C3" i="1"/>
  <c r="B3" i="1"/>
  <c r="L13" i="20" l="1"/>
  <c r="S5" i="20"/>
  <c r="Z5" i="20"/>
  <c r="S4" i="20"/>
  <c r="Z4" i="20"/>
  <c r="Z3" i="20"/>
  <c r="S3" i="20"/>
  <c r="S11" i="20"/>
  <c r="Z14" i="20"/>
  <c r="S14" i="20"/>
  <c r="S13" i="20"/>
  <c r="S12" i="20"/>
  <c r="Y15" i="1"/>
  <c r="Z15" i="1"/>
  <c r="W15" i="1"/>
  <c r="Q15" i="1"/>
  <c r="Z11" i="20"/>
  <c r="Z12" i="20"/>
  <c r="Z13" i="20"/>
  <c r="S10" i="20"/>
  <c r="H15" i="1"/>
  <c r="X15" i="1"/>
  <c r="Z10" i="20"/>
  <c r="L5" i="20"/>
  <c r="S9" i="20"/>
  <c r="Z9" i="20"/>
  <c r="I15" i="1"/>
  <c r="S15" i="1"/>
  <c r="U15" i="1"/>
  <c r="V15" i="1"/>
  <c r="T15" i="1"/>
  <c r="M15" i="1"/>
  <c r="N15" i="1"/>
  <c r="P15" i="1"/>
  <c r="R15" i="1"/>
  <c r="J15" i="1"/>
  <c r="K15" i="1"/>
  <c r="G15" i="1"/>
  <c r="F15" i="20"/>
  <c r="E15" i="20"/>
  <c r="L15" i="1"/>
  <c r="B15" i="1"/>
  <c r="B15" i="20"/>
  <c r="C15" i="20"/>
  <c r="C15" i="1"/>
  <c r="D15" i="20"/>
  <c r="S8" i="20"/>
  <c r="Z8" i="20"/>
  <c r="D15" i="1"/>
  <c r="E15" i="1"/>
  <c r="F15" i="1"/>
  <c r="AF15" i="1"/>
  <c r="AE15" i="1"/>
  <c r="S7" i="20"/>
  <c r="X15" i="20"/>
  <c r="U15" i="20"/>
  <c r="W15" i="20"/>
  <c r="V15" i="20"/>
  <c r="Y15" i="20"/>
  <c r="T15" i="20"/>
  <c r="AC15" i="20"/>
  <c r="Z7" i="20"/>
  <c r="P15" i="20"/>
  <c r="Q15" i="20"/>
  <c r="O15" i="20"/>
  <c r="R15" i="20"/>
  <c r="M15" i="20"/>
  <c r="AA15" i="20"/>
  <c r="N15" i="20"/>
  <c r="AB15" i="20"/>
  <c r="G15" i="20"/>
  <c r="AC15" i="1"/>
  <c r="AD15" i="1"/>
  <c r="AB15" i="1"/>
  <c r="L7" i="20"/>
  <c r="L11" i="20"/>
  <c r="L8" i="20"/>
  <c r="L12" i="20"/>
  <c r="K15" i="20"/>
  <c r="L4" i="20"/>
  <c r="I15" i="20"/>
  <c r="H15" i="20"/>
  <c r="J15" i="20"/>
  <c r="L9" i="20"/>
  <c r="L10" i="20"/>
  <c r="L6" i="20"/>
  <c r="L14" i="20"/>
  <c r="L3" i="20"/>
  <c r="Z6" i="20"/>
  <c r="S6" i="20"/>
  <c r="S15" i="20" l="1"/>
  <c r="Z15" i="20"/>
  <c r="L1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Tomáš Fedor</author>
    <author>Peter Fedor</author>
  </authors>
  <commentList>
    <comment ref="G2" authorId="0" shapeId="0" xr:uid="{088EA8C3-5D3C-4FE8-9D2D-258D28A59BB6}">
      <text>
        <r>
          <rPr>
            <b/>
            <sz val="9"/>
            <color indexed="81"/>
            <rFont val="Segoe UI"/>
            <family val="2"/>
            <charset val="238"/>
          </rPr>
          <t>Najvyššia v rámci bunky v čase pozorovania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H2" authorId="0" shapeId="0" xr:uid="{CD73F59D-924E-4095-B070-93A75E1AB72F}">
      <text>
        <r>
          <rPr>
            <b/>
            <sz val="9"/>
            <color indexed="81"/>
            <rFont val="Tahoma"/>
            <family val="2"/>
            <charset val="238"/>
          </rPr>
          <t>Nad pozorovacím miestom</t>
        </r>
      </text>
    </comment>
    <comment ref="L2" authorId="0" shapeId="0" xr:uid="{8FA92789-51F9-4F27-ABD2-9B13069EF96D}">
      <text>
        <r>
          <rPr>
            <b/>
            <sz val="9"/>
            <color indexed="81"/>
            <rFont val="Tahoma"/>
            <family val="2"/>
            <charset val="238"/>
          </rPr>
          <t>V čase trvania búrky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6" authorId="1" shapeId="0" xr:uid="{839C5923-8E2B-4202-BA99-6E93116EB041}">
      <text>
        <r>
          <rPr>
            <b/>
            <sz val="9"/>
            <color indexed="81"/>
            <rFont val="Tahoma"/>
            <family val="2"/>
            <charset val="238"/>
          </rPr>
          <t>maximálny náraz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7" authorId="1" shapeId="0" xr:uid="{D191692B-2A5F-4DE9-BD85-724B6230C2C9}">
      <text>
        <r>
          <rPr>
            <b/>
            <sz val="9"/>
            <color indexed="81"/>
            <rFont val="Tahoma"/>
            <family val="2"/>
            <charset val="238"/>
          </rPr>
          <t>Priemer vetra v čase výskytu búrky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8" authorId="1" shapeId="0" xr:uid="{F58E3F81-B528-4AB1-BDC6-F18FE9312F43}">
      <text>
        <r>
          <rPr>
            <b/>
            <sz val="9"/>
            <color indexed="81"/>
            <rFont val="Tahoma"/>
            <family val="2"/>
            <charset val="238"/>
          </rPr>
          <t>celkové množstvo zrážok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9" authorId="1" shapeId="0" xr:uid="{50154E6A-B878-475A-A619-BE51B5194E78}">
      <text>
        <r>
          <rPr>
            <b/>
            <sz val="9"/>
            <color indexed="81"/>
            <rFont val="Tahoma"/>
            <family val="2"/>
            <charset val="238"/>
          </rPr>
          <t>maximálna intenzita zrážok</t>
        </r>
      </text>
    </comment>
    <comment ref="A260" authorId="1" shapeId="0" xr:uid="{0397B902-E4E0-41F5-AC00-72E2343FC40B}">
      <text>
        <r>
          <rPr>
            <b/>
            <sz val="9"/>
            <color indexed="81"/>
            <rFont val="Tahoma"/>
            <family val="2"/>
            <charset val="238"/>
          </rPr>
          <t>maximálny priemer krúp/výška napadnutej vrstvy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1" authorId="1" shapeId="0" xr:uid="{4A55E373-C1B1-42AF-BDE4-602293D49A62}">
      <text>
        <r>
          <rPr>
            <b/>
            <sz val="9"/>
            <color indexed="81"/>
            <rFont val="Tahoma"/>
            <family val="2"/>
            <charset val="238"/>
          </rPr>
          <t>množstvo novonapadnutého snehu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2" authorId="1" shapeId="0" xr:uid="{CA6222CC-A705-448A-BDD9-5F936E755B69}">
      <text>
        <r>
          <rPr>
            <b/>
            <sz val="9"/>
            <color indexed="81"/>
            <rFont val="Tahoma"/>
            <family val="2"/>
            <charset val="238"/>
          </rPr>
          <t>počet bleskov podľa detekcie blitzortung (vzdialenosť úderu pod 20 km od pozorovacieho miesta)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3" authorId="1" shapeId="0" xr:uid="{5F620D82-1D13-4ED7-B275-0E8B4C6A9443}">
      <text>
        <r>
          <rPr>
            <b/>
            <sz val="9"/>
            <color indexed="81"/>
            <rFont val="Tahoma"/>
            <family val="2"/>
            <charset val="238"/>
          </rPr>
          <t>približná maximálna odrazivosť bunky na radare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Fedor</author>
    <author>Tomáš Fedor</author>
  </authors>
  <commentList>
    <comment ref="A2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časy sú v letnom a zimnom (miestnom) čase
</t>
        </r>
      </text>
    </comment>
    <comment ref="B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Najvyššia nameraná teplota počas mesiaca</t>
        </r>
      </text>
    </comment>
    <comment ref="C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Najnižšia nameraná teplota počas mesiaca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" authorId="1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Najvyššia amplitúda teploty vzduchu
</t>
        </r>
      </text>
    </comment>
    <comment ref="E2" authorId="1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Najnižšia amplitúda teploty vzduchu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Priemerná teplota </t>
        </r>
      </text>
    </comment>
    <comment ref="G2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Priemerná teplota (priemer údajov zapísaných v intervale 1 minúta)</t>
        </r>
      </text>
    </comment>
    <comment ref="H2" authorId="1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>Najvyššia priemerná denná teplota vzduchu</t>
        </r>
      </text>
    </comment>
    <comment ref="I2" authorId="1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>Najnižšia priemerná denná teplota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2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Maximálna nameraná teplota rosného bodu počas mesiaca</t>
        </r>
      </text>
    </comment>
    <comment ref="K2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38"/>
          </rPr>
          <t>Minimálna nameraná teplota rosného bodu počas mesiaca</t>
        </r>
      </text>
    </comment>
    <comment ref="L2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38"/>
          </rPr>
          <t>Priemerná teplota rosného bodu (priemer údajov zapísaných v intervale 5 minút)</t>
        </r>
      </text>
    </comment>
    <comment ref="M2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38"/>
          </rPr>
          <t>Najvyššia vlhkosť vzduchu</t>
        </r>
      </text>
    </comment>
    <comment ref="O2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38"/>
          </rPr>
          <t>Najnižšia vlhkosť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2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38"/>
          </rPr>
          <t>priemerná vlhkosť vzduchu</t>
        </r>
      </text>
    </comment>
    <comment ref="S2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38"/>
          </rPr>
          <t>Najvyššia hodnota tlaku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2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38"/>
          </rPr>
          <t>Najnižšia hodnota tlaku vzduchu</t>
        </r>
      </text>
    </comment>
    <comment ref="U2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38"/>
          </rPr>
          <t>Priemerná hodnota tlaku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2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38"/>
          </rPr>
          <t>Najvyšší zaznamenaný náraz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2" authorId="1" shapeId="0" xr:uid="{00000000-0006-0000-0200-000014000000}">
      <text>
        <r>
          <rPr>
            <b/>
            <sz val="9"/>
            <color indexed="81"/>
            <rFont val="Tahoma"/>
            <family val="2"/>
            <charset val="238"/>
          </rPr>
          <t>Najvyššia rýchlosť vetra (10 minútový priemer).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2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38"/>
          </rPr>
          <t>Priemerná rýchlosť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2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38"/>
          </rPr>
          <t xml:space="preserve">Najvyššia priemerná rýchlosť vetra behom 24 hod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2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38"/>
          </rPr>
          <t xml:space="preserve">Najnižšia priemerná rýchlosť vetra behom 24 hod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2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38"/>
          </rPr>
          <t>smer vetra</t>
        </r>
      </text>
    </comment>
    <comment ref="AB2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38"/>
          </rPr>
          <t>Najvyššia intenzita zrážok (1 min)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C2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38"/>
          </rPr>
          <t>najvyšší úhrn zrážok v jeden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2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38"/>
          </rPr>
          <t>Celkové množstvo zrážok</t>
        </r>
      </text>
    </comment>
    <comment ref="AE2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38"/>
          </rPr>
          <t>najväčšie množstvo snehu napadnutého behom 24 hodín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F2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38"/>
          </rPr>
          <t>Najväčšia výška snehovej pokrývky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Fedor</author>
    <author>Tomáš Fedor</author>
  </authors>
  <commentList>
    <comment ref="B2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deň s výskytom teplotného maxima nižšieho ako -10°C.</t>
        </r>
      </text>
    </comment>
    <comment ref="C2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deň s výskytom najvyššej teploty vzduchu nižšej ako 0°C (celodenný mráz).</t>
        </r>
      </text>
    </comment>
    <comment ref="D2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38"/>
          </rPr>
          <t>deň s výskytom teploty nižšej ako 0 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38"/>
          </rPr>
          <t>deň s najvyššou teplotou vzduchu presahujúcou 25°C.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38"/>
          </rPr>
          <t>deň s najvyššou teplotou vzduchu presahujúcou 30°C.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2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38"/>
          </rPr>
          <t>noc, počas ktorej najnižšia teplota vzduchu presiahne 20 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38"/>
          </rPr>
          <t>Búrkové dni (počuteľný hrom)</t>
        </r>
      </text>
    </comment>
    <comment ref="I2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38"/>
          </rPr>
          <t>búrka vzdialená menej ako 3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2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38"/>
          </rPr>
          <t>búrky vzdielené 3-5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" authorId="0" shapeId="0" xr:uid="{00000000-0006-0000-0300-00000A000000}">
      <text>
        <r>
          <rPr>
            <b/>
            <sz val="9"/>
            <color indexed="81"/>
            <rFont val="Tahoma"/>
            <family val="2"/>
            <charset val="238"/>
          </rPr>
          <t>búrky vzdielené 5-15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" authorId="0" shapeId="0" xr:uid="{00000000-0006-0000-0300-00000B000000}">
      <text>
        <r>
          <rPr>
            <b/>
            <sz val="9"/>
            <color indexed="81"/>
            <rFont val="Tahoma"/>
            <family val="2"/>
            <charset val="238"/>
          </rPr>
          <t>všetky búrky</t>
        </r>
      </text>
    </comment>
    <comment ref="M2" authorId="1" shapeId="0" xr:uid="{00000000-0006-0000-0300-00000C000000}">
      <text>
        <r>
          <rPr>
            <b/>
            <sz val="9"/>
            <color indexed="81"/>
            <rFont val="Tahoma"/>
            <family val="2"/>
            <charset val="238"/>
          </rPr>
          <t>Dohľadnosť 1-10 km vplyvom rozptýlených tuhých častíc v ovzduší. Relatívna vlhkosť je nižšia ako 70%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" authorId="1" shapeId="0" xr:uid="{00000000-0006-0000-0300-00000D000000}">
      <text>
        <r>
          <rPr>
            <b/>
            <sz val="9"/>
            <color indexed="81"/>
            <rFont val="Tahoma"/>
            <family val="2"/>
            <charset val="238"/>
          </rPr>
          <t>Dohľadnosť 1-10 km vplyvom rozptýlených častíc vodnej pary. Relatívna vlhkosť je vyššia ako 70%</t>
        </r>
      </text>
    </comment>
    <comment ref="O2" authorId="0" shapeId="0" xr:uid="{00000000-0006-0000-0300-00000E000000}">
      <text>
        <r>
          <rPr>
            <b/>
            <sz val="9"/>
            <color indexed="81"/>
            <rFont val="Tahoma"/>
            <family val="2"/>
            <charset val="238"/>
          </rPr>
          <t>Deň s dohľadnosťou nižšou ako 1 km.</t>
        </r>
      </text>
    </comment>
    <comment ref="P2" authorId="0" shapeId="0" xr:uid="{00000000-0006-0000-0300-00000F000000}">
      <text>
        <r>
          <rPr>
            <b/>
            <sz val="9"/>
            <color indexed="81"/>
            <rFont val="Tahoma"/>
            <family val="2"/>
            <charset val="238"/>
          </rPr>
          <t>6 hod nepretržitý slnečný svit</t>
        </r>
      </text>
    </comment>
    <comment ref="Q2" authorId="0" shapeId="0" xr:uid="{00000000-0006-0000-0300-000010000000}">
      <text>
        <r>
          <rPr>
            <b/>
            <sz val="9"/>
            <color indexed="81"/>
            <rFont val="Tahoma"/>
            <family val="2"/>
            <charset val="238"/>
          </rPr>
          <t>( 0/8 pokrytie oblohy oblačnosťou po celý deň)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2" authorId="0" shapeId="0" xr:uid="{00000000-0006-0000-0300-000011000000}">
      <text>
        <r>
          <rPr>
            <b/>
            <sz val="9"/>
            <color indexed="81"/>
            <rFont val="Tahoma"/>
            <family val="2"/>
            <charset val="238"/>
          </rPr>
          <t>Deň so zamračenou oblohou (8/8 pokrytie oblohy oblačnosťou po celý deň)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S2" authorId="0" shapeId="0" xr:uid="{00000000-0006-0000-0300-000012000000}">
      <text>
        <r>
          <rPr>
            <b/>
            <sz val="9"/>
            <color indexed="81"/>
            <rFont val="Tahoma"/>
            <family val="2"/>
            <charset val="238"/>
          </rPr>
          <t>výskyt akéhokoľvek typu zrážok v daný deň</t>
        </r>
      </text>
    </comment>
    <comment ref="T2" authorId="0" shapeId="0" xr:uid="{00000000-0006-0000-0300-000013000000}">
      <text>
        <r>
          <rPr>
            <b/>
            <sz val="9"/>
            <color indexed="81"/>
            <rFont val="Tahoma"/>
            <family val="2"/>
            <charset val="238"/>
          </rPr>
          <t>nemerateľné (malé) množstvo zrážok (&lt;0.1 mm)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2" authorId="0" shapeId="0" xr:uid="{00000000-0006-0000-0300-000014000000}">
      <text>
        <r>
          <rPr>
            <b/>
            <sz val="9"/>
            <color indexed="81"/>
            <rFont val="Tahoma"/>
            <family val="2"/>
            <charset val="238"/>
          </rPr>
          <t>merateľné zrážky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2" authorId="0" shapeId="0" xr:uid="{00000000-0006-0000-0300-000015000000}">
      <text>
        <r>
          <rPr>
            <b/>
            <sz val="9"/>
            <color indexed="81"/>
            <rFont val="Tahoma"/>
            <family val="2"/>
            <charset val="238"/>
          </rPr>
          <t>výskyt kvapalných zrážok v daný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2" authorId="0" shapeId="0" xr:uid="{00000000-0006-0000-0300-000016000000}">
      <text>
        <r>
          <rPr>
            <b/>
            <sz val="9"/>
            <color indexed="81"/>
            <rFont val="Tahoma"/>
            <family val="2"/>
            <charset val="238"/>
          </rPr>
          <t>výskyt krupobita - Ľadové zrážky s priemerom nad 5 mm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2" authorId="0" shapeId="0" xr:uid="{00000000-0006-0000-0300-000017000000}">
      <text>
        <r>
          <rPr>
            <b/>
            <sz val="9"/>
            <color indexed="81"/>
            <rFont val="Tahoma"/>
            <family val="2"/>
            <charset val="238"/>
          </rPr>
          <t>výskyt sneženia, zmrznutého dažďa alebo snehových zŕn v daný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2" authorId="1" shapeId="0" xr:uid="{00000000-0006-0000-0300-000018000000}">
      <text>
        <r>
          <rPr>
            <b/>
            <sz val="9"/>
            <color indexed="81"/>
            <rFont val="Tahoma"/>
            <family val="2"/>
            <charset val="238"/>
          </rPr>
          <t xml:space="preserve">Dni s výskytom merateľných usadených zrážok (rosa, námraza, inoväť)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2" authorId="1" shapeId="0" xr:uid="{00000000-0006-0000-0300-000019000000}">
      <text>
        <r>
          <rPr>
            <b/>
            <sz val="9"/>
            <color indexed="81"/>
            <rFont val="Tahoma"/>
            <family val="2"/>
            <charset val="238"/>
          </rPr>
          <t>Poprašok, SSP a NSP</t>
        </r>
      </text>
    </comment>
    <comment ref="AA2" authorId="1" shapeId="0" xr:uid="{00000000-0006-0000-0300-00001A000000}">
      <text>
        <r>
          <rPr>
            <b/>
            <sz val="9"/>
            <color indexed="81"/>
            <rFont val="Tahoma"/>
            <family val="2"/>
            <charset val="238"/>
          </rPr>
          <t>Súvislá snehová pokrývka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2" authorId="1" shapeId="0" xr:uid="{00000000-0006-0000-0300-00001B000000}">
      <text>
        <r>
          <rPr>
            <b/>
            <sz val="9"/>
            <color indexed="81"/>
            <rFont val="Tahoma"/>
            <family val="2"/>
            <charset val="238"/>
          </rPr>
          <t>Nesúvislá snehová pokrývka
- menej ako 1/2 plochy v okolí pozorovacieho miesta pokrytá snehom.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C2" authorId="1" shapeId="0" xr:uid="{00000000-0006-0000-0300-00001C000000}">
      <text>
        <r>
          <rPr>
            <b/>
            <sz val="9"/>
            <color indexed="81"/>
            <rFont val="Tahoma"/>
            <family val="2"/>
            <charset val="238"/>
          </rPr>
          <t>Snehová pokrývka nižšia ako 0.5 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<sst xmlns="http://schemas.openxmlformats.org/spreadsheetml/2006/main" count="1615" uniqueCount="459">
  <si>
    <t>Dátum</t>
  </si>
  <si>
    <t>Mesiac</t>
  </si>
  <si>
    <t>Teplota vzduchu</t>
  </si>
  <si>
    <r>
      <t>T</t>
    </r>
    <r>
      <rPr>
        <sz val="8"/>
        <color theme="1"/>
        <rFont val="Calibri"/>
        <family val="2"/>
        <charset val="238"/>
        <scheme val="minor"/>
      </rPr>
      <t>max</t>
    </r>
  </si>
  <si>
    <r>
      <t>T</t>
    </r>
    <r>
      <rPr>
        <sz val="8"/>
        <color theme="1"/>
        <rFont val="Calibri"/>
        <family val="2"/>
        <charset val="238"/>
        <scheme val="minor"/>
      </rPr>
      <t>min</t>
    </r>
  </si>
  <si>
    <t>Rosný bod</t>
  </si>
  <si>
    <r>
      <t>T</t>
    </r>
    <r>
      <rPr>
        <sz val="8"/>
        <color theme="1"/>
        <rFont val="Calibri"/>
        <family val="2"/>
        <charset val="238"/>
        <scheme val="minor"/>
      </rPr>
      <t>pr.</t>
    </r>
  </si>
  <si>
    <t>Tlak vzduchu</t>
  </si>
  <si>
    <r>
      <t>P</t>
    </r>
    <r>
      <rPr>
        <sz val="8"/>
        <color theme="1"/>
        <rFont val="Calibri"/>
        <family val="2"/>
        <charset val="238"/>
        <scheme val="minor"/>
      </rPr>
      <t>max</t>
    </r>
  </si>
  <si>
    <r>
      <t>P</t>
    </r>
    <r>
      <rPr>
        <sz val="8"/>
        <color theme="1"/>
        <rFont val="Calibri"/>
        <family val="2"/>
        <charset val="238"/>
        <scheme val="minor"/>
      </rPr>
      <t>min</t>
    </r>
  </si>
  <si>
    <t>Vietor</t>
  </si>
  <si>
    <t>max náraz</t>
  </si>
  <si>
    <t>pr. Rýchlosť</t>
  </si>
  <si>
    <t>pr. Smer</t>
  </si>
  <si>
    <t>Zrážky</t>
  </si>
  <si>
    <t>typ</t>
  </si>
  <si>
    <t>intenzita</t>
  </si>
  <si>
    <t>množstvo</t>
  </si>
  <si>
    <t>sneh. Pokrývka</t>
  </si>
  <si>
    <t>Oblačnosť, ostatné javy</t>
  </si>
  <si>
    <r>
      <t>Td</t>
    </r>
    <r>
      <rPr>
        <sz val="8"/>
        <color theme="1"/>
        <rFont val="Calibri"/>
        <family val="2"/>
        <charset val="238"/>
        <scheme val="minor"/>
      </rPr>
      <t>max</t>
    </r>
  </si>
  <si>
    <r>
      <t>Td</t>
    </r>
    <r>
      <rPr>
        <sz val="8"/>
        <color theme="1"/>
        <rFont val="Calibri"/>
        <family val="2"/>
        <charset val="238"/>
        <scheme val="minor"/>
      </rPr>
      <t>min</t>
    </r>
  </si>
  <si>
    <t>max. intenzita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</si>
  <si>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</si>
  <si>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</si>
  <si>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</si>
  <si>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</si>
  <si>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</si>
  <si>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</si>
  <si>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</si>
  <si>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</si>
  <si>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</si>
  <si>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</si>
  <si>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</si>
  <si>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</si>
  <si>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Vlhkosť vzduchu</t>
  </si>
  <si>
    <t>Vlhkosť</t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</si>
  <si>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min.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</si>
  <si>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max.</t>
    </r>
  </si>
  <si>
    <r>
      <t>H</t>
    </r>
    <r>
      <rPr>
        <sz val="8"/>
        <color theme="1"/>
        <rFont val="Calibri"/>
        <family val="2"/>
        <charset val="238"/>
        <scheme val="minor"/>
      </rPr>
      <t>min</t>
    </r>
  </si>
  <si>
    <r>
      <t>H</t>
    </r>
    <r>
      <rPr>
        <sz val="8"/>
        <color theme="1"/>
        <rFont val="Calibri"/>
        <family val="2"/>
        <charset val="238"/>
        <scheme val="minor"/>
      </rPr>
      <t>max</t>
    </r>
  </si>
  <si>
    <t>priem. Rýchlosť</t>
  </si>
  <si>
    <t>krúpy</t>
  </si>
  <si>
    <t>max pr. Rýchlosť</t>
  </si>
  <si>
    <t>max rýchlosť</t>
  </si>
  <si>
    <t>10 m/s &lt;=&gt; 15 m/s</t>
  </si>
  <si>
    <t>15 m/s &lt;=&gt; 20 m/s</t>
  </si>
  <si>
    <t>20 m/s &lt;=&gt; 25 m/s</t>
  </si>
  <si>
    <t>0 m/s &lt;=&gt; 5 m/s</t>
  </si>
  <si>
    <t>zrážky:</t>
  </si>
  <si>
    <t>intenzita:</t>
  </si>
  <si>
    <t>0 mm &lt;=&gt; 5 mm</t>
  </si>
  <si>
    <t>5 mm &lt;=&gt; 10 mm</t>
  </si>
  <si>
    <t>10 mm &lt;=&gt; 15 mm</t>
  </si>
  <si>
    <t>15 mm &lt;=&gt; 30 mm</t>
  </si>
  <si>
    <t>30 mm &lt;=&gt; 45 mm</t>
  </si>
  <si>
    <t>45 mm &lt;=&gt; 60 mm</t>
  </si>
  <si>
    <t>60 mm &lt;=&gt; 80 mm</t>
  </si>
  <si>
    <t>80 mm &lt;</t>
  </si>
  <si>
    <t>0 mm/h &lt;=&gt; 5 mm/h</t>
  </si>
  <si>
    <t>5 mm/h &lt;=&gt; 15 mm/h</t>
  </si>
  <si>
    <t>15 mm/h &lt;=&gt; 30 mm/h</t>
  </si>
  <si>
    <t>30 mm/h &lt;=&gt; 50 mm/h</t>
  </si>
  <si>
    <t>0 cm &lt;=&gt; 1 cm</t>
  </si>
  <si>
    <t>1cm &lt;=&gt; 3cm</t>
  </si>
  <si>
    <t>3 cm &lt;=&gt; 5 cm</t>
  </si>
  <si>
    <t>10 cm &lt;=&gt; 15 cm</t>
  </si>
  <si>
    <t>15 cm &lt;=&gt; 20 cm</t>
  </si>
  <si>
    <t>20 cm &lt;=&gt; 30 cm</t>
  </si>
  <si>
    <t>30 cm &lt;</t>
  </si>
  <si>
    <t>sneh:</t>
  </si>
  <si>
    <t>krúpy:</t>
  </si>
  <si>
    <t>15 mm &lt;=&gt; 20 mm</t>
  </si>
  <si>
    <t>20 mm &lt;=&gt; 30 mm</t>
  </si>
  <si>
    <t>40 mm &lt;=&gt; 50 mm</t>
  </si>
  <si>
    <t>30 mm &lt;=&gt;  40 mm</t>
  </si>
  <si>
    <t>50 mm &lt;</t>
  </si>
  <si>
    <t>Vysvetlivky:</t>
  </si>
  <si>
    <t>0 mm</t>
  </si>
  <si>
    <t>0 mm/h</t>
  </si>
  <si>
    <t>0 cm</t>
  </si>
  <si>
    <t>150 mm/h &lt;</t>
  </si>
  <si>
    <t>50 mm/h &lt;=&gt; 90 mm/h</t>
  </si>
  <si>
    <t>90 mm/h &lt;=&gt; 150 mm/h</t>
  </si>
  <si>
    <r>
      <t>P</t>
    </r>
    <r>
      <rPr>
        <sz val="8"/>
        <color theme="1"/>
        <rFont val="Calibri"/>
        <family val="2"/>
        <charset val="238"/>
        <scheme val="minor"/>
      </rPr>
      <t>pr. (5 min)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</si>
  <si>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pr. 5 min</t>
    </r>
  </si>
  <si>
    <r>
      <t>Td</t>
    </r>
    <r>
      <rPr>
        <sz val="10"/>
        <color theme="1"/>
        <rFont val="Calibri"/>
        <family val="2"/>
        <charset val="238"/>
        <scheme val="minor"/>
      </rPr>
      <t>pr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sz val="8"/>
        <color theme="1"/>
        <rFont val="Calibri"/>
        <family val="2"/>
        <charset val="238"/>
        <scheme val="minor"/>
      </rPr>
      <t>5 min</t>
    </r>
  </si>
  <si>
    <r>
      <t>P</t>
    </r>
    <r>
      <rPr>
        <sz val="8"/>
        <color theme="1"/>
        <rFont val="Calibri"/>
        <family val="2"/>
        <charset val="238"/>
        <scheme val="minor"/>
      </rPr>
      <t>pr. 5 min</t>
    </r>
  </si>
  <si>
    <r>
      <t>T</t>
    </r>
    <r>
      <rPr>
        <sz val="8"/>
        <color theme="1"/>
        <rFont val="Calibri"/>
        <family val="2"/>
        <charset val="238"/>
        <scheme val="minor"/>
      </rPr>
      <t>pr.1min</t>
    </r>
  </si>
  <si>
    <t>nový sneh</t>
  </si>
  <si>
    <r>
      <t>T</t>
    </r>
    <r>
      <rPr>
        <sz val="8"/>
        <color theme="1"/>
        <rFont val="Calibri"/>
        <family val="2"/>
        <charset val="238"/>
        <scheme val="minor"/>
      </rPr>
      <t>pr. 1 min</t>
    </r>
  </si>
  <si>
    <r>
      <t>T</t>
    </r>
    <r>
      <rPr>
        <sz val="8"/>
        <color theme="1"/>
        <rFont val="Calibri"/>
        <family val="2"/>
        <charset val="238"/>
        <scheme val="minor"/>
      </rPr>
      <t>20:34</t>
    </r>
  </si>
  <si>
    <r>
      <t>T</t>
    </r>
    <r>
      <rPr>
        <sz val="8"/>
        <color theme="1"/>
        <rFont val="Calibri"/>
        <family val="2"/>
        <charset val="238"/>
        <scheme val="minor"/>
      </rPr>
      <t>13:34</t>
    </r>
  </si>
  <si>
    <r>
      <t>T</t>
    </r>
    <r>
      <rPr>
        <sz val="8"/>
        <color theme="1"/>
        <rFont val="Calibri"/>
        <family val="2"/>
        <charset val="238"/>
        <scheme val="minor"/>
      </rPr>
      <t>6:34</t>
    </r>
  </si>
  <si>
    <t>min pr. Rýchlosť</t>
  </si>
  <si>
    <t>Tropické noci</t>
  </si>
  <si>
    <t>Letné dni</t>
  </si>
  <si>
    <t>Tropické dni</t>
  </si>
  <si>
    <t>Mrazové dni</t>
  </si>
  <si>
    <t>Ľadové dni</t>
  </si>
  <si>
    <t>Arktické dni</t>
  </si>
  <si>
    <t>Búrky</t>
  </si>
  <si>
    <t>Rozdelenie dní podľa teploty vzduchu</t>
  </si>
  <si>
    <t>búrky</t>
  </si>
  <si>
    <t>Marec:</t>
  </si>
  <si>
    <t>Apríl:</t>
  </si>
  <si>
    <t>Máj:</t>
  </si>
  <si>
    <t>Február:</t>
  </si>
  <si>
    <t>Január:</t>
  </si>
  <si>
    <t>Júl:</t>
  </si>
  <si>
    <t>Jún:</t>
  </si>
  <si>
    <t>August:</t>
  </si>
  <si>
    <t>September:</t>
  </si>
  <si>
    <t>vzd. búrky</t>
  </si>
  <si>
    <t>blízke búrky</t>
  </si>
  <si>
    <t>priame búrky</t>
  </si>
  <si>
    <r>
      <rPr>
        <sz val="12"/>
        <color theme="1"/>
        <rFont val="Calibri"/>
        <family val="2"/>
        <charset val="238"/>
        <scheme val="minor"/>
      </rPr>
      <t>T</t>
    </r>
    <r>
      <rPr>
        <sz val="8"/>
        <color theme="1"/>
        <rFont val="Calibri"/>
        <family val="2"/>
        <charset val="238"/>
        <scheme val="minor"/>
      </rPr>
      <t>pr.max</t>
    </r>
  </si>
  <si>
    <r>
      <rPr>
        <sz val="11"/>
        <color theme="1"/>
        <rFont val="Calibri"/>
        <family val="2"/>
        <charset val="238"/>
        <scheme val="minor"/>
      </rPr>
      <t>T</t>
    </r>
    <r>
      <rPr>
        <sz val="8"/>
        <color theme="1"/>
        <rFont val="Calibri"/>
        <family val="2"/>
        <charset val="238"/>
        <scheme val="minor"/>
      </rPr>
      <t>pr.min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</si>
  <si>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pr.max</t>
    </r>
  </si>
  <si>
    <r>
      <t>H</t>
    </r>
    <r>
      <rPr>
        <sz val="8"/>
        <color theme="1"/>
        <rFont val="Calibri"/>
        <family val="2"/>
        <charset val="238"/>
        <scheme val="minor"/>
      </rPr>
      <t>pr.min</t>
    </r>
  </si>
  <si>
    <t>max 24h úhrn</t>
  </si>
  <si>
    <t>Čas (UTC)</t>
  </si>
  <si>
    <t>Poveternostná situácia</t>
  </si>
  <si>
    <t>Informácie o búrke</t>
  </si>
  <si>
    <t>Informácie o postupe</t>
  </si>
  <si>
    <t>Hydrometeory</t>
  </si>
  <si>
    <t>Elektrometeory</t>
  </si>
  <si>
    <t>Poznámky</t>
  </si>
  <si>
    <t>Jav</t>
  </si>
  <si>
    <t>Odrazivosť</t>
  </si>
  <si>
    <t>postup</t>
  </si>
  <si>
    <t>smer</t>
  </si>
  <si>
    <t>náraz</t>
  </si>
  <si>
    <t>priemer</t>
  </si>
  <si>
    <t>sneh</t>
  </si>
  <si>
    <t>najbližší úder</t>
  </si>
  <si>
    <t>hrom</t>
  </si>
  <si>
    <t>počuteľný hrom - búrka</t>
  </si>
  <si>
    <t>W - búrkový deň</t>
  </si>
  <si>
    <t>P - priama búrka</t>
  </si>
  <si>
    <t>L - blízka búrka (3-5 km)</t>
  </si>
  <si>
    <t>V - vzdialená búrka (5-15km)</t>
  </si>
  <si>
    <t>D - dážď</t>
  </si>
  <si>
    <t>S - sneženie</t>
  </si>
  <si>
    <t>K - krupobitie</t>
  </si>
  <si>
    <t>Z - zrážky</t>
  </si>
  <si>
    <t>Vietor max:</t>
  </si>
  <si>
    <t>5 m/s &lt;=&gt; 10 m/s</t>
  </si>
  <si>
    <t>25 m/s &lt;=&gt; 30 m/s</t>
  </si>
  <si>
    <t>30 m/s &lt;</t>
  </si>
  <si>
    <t>vietor priemer:</t>
  </si>
  <si>
    <t>0 m/s &lt;=&gt; 2 m/s</t>
  </si>
  <si>
    <t>2 m/s &lt;=&gt; 5 m/s</t>
  </si>
  <si>
    <t>5 m/s &lt;=&gt; 8 m/s</t>
  </si>
  <si>
    <t>8 m/s &lt;=&gt; 11 m/s</t>
  </si>
  <si>
    <t>11 m/s &lt;=&gt; 13 m/s</t>
  </si>
  <si>
    <t>13 m/s &lt;=&gt; 15 m/s</t>
  </si>
  <si>
    <t>15 m/s &lt;</t>
  </si>
  <si>
    <t>5 cm &lt;=&gt; 10 cm</t>
  </si>
  <si>
    <t>Blesky</t>
  </si>
  <si>
    <t>1 &lt;=&gt; 10</t>
  </si>
  <si>
    <t>10 &lt;=&gt; 50</t>
  </si>
  <si>
    <t>50 &lt;=&gt; 350</t>
  </si>
  <si>
    <t>350 &lt;=&gt; 700</t>
  </si>
  <si>
    <t xml:space="preserve">700 &lt;=&gt; 1200 </t>
  </si>
  <si>
    <t>1200 &lt;=&gt; 1800</t>
  </si>
  <si>
    <t>1800 &lt;=&gt; 2500</t>
  </si>
  <si>
    <t>2500 &lt;</t>
  </si>
  <si>
    <t>30-40 dBz</t>
  </si>
  <si>
    <t>40-45 dBz</t>
  </si>
  <si>
    <t>45-50 dBz</t>
  </si>
  <si>
    <t>50-55 dBz</t>
  </si>
  <si>
    <t>55-60 dBz</t>
  </si>
  <si>
    <t>60-63 dBz</t>
  </si>
  <si>
    <t xml:space="preserve">63-65 dBz </t>
  </si>
  <si>
    <t>65 dBz &lt;</t>
  </si>
  <si>
    <t>Dni s búrkou</t>
  </si>
  <si>
    <t>Dni s hmlou</t>
  </si>
  <si>
    <t>Október:</t>
  </si>
  <si>
    <t>November:</t>
  </si>
  <si>
    <t>Dni so snežením</t>
  </si>
  <si>
    <t>Dni s dažďom</t>
  </si>
  <si>
    <t>Dni s merateľnými zrážkami</t>
  </si>
  <si>
    <t>Dni s nemerateľnými zrážkami</t>
  </si>
  <si>
    <t>Dni so zrážkami</t>
  </si>
  <si>
    <t>Dni so zamračenou oblohou</t>
  </si>
  <si>
    <t>December:</t>
  </si>
  <si>
    <t>Dni so snehovou pokrývkou</t>
  </si>
  <si>
    <t>Dni s krupobitím</t>
  </si>
  <si>
    <t>slnečné dni</t>
  </si>
  <si>
    <t>maximálna odrazivosť</t>
  </si>
  <si>
    <t>Dni so SSP</t>
  </si>
  <si>
    <t>Dni s popraškom</t>
  </si>
  <si>
    <t>Dni s NSP</t>
  </si>
  <si>
    <t>Snehová pokrývka</t>
  </si>
  <si>
    <t>prevládajúci smer vetra</t>
  </si>
  <si>
    <t>organizácia</t>
  </si>
  <si>
    <t>Dni s dymnom</t>
  </si>
  <si>
    <t>ΔT</t>
  </si>
  <si>
    <r>
      <t>ΔT</t>
    </r>
    <r>
      <rPr>
        <sz val="8"/>
        <color theme="1"/>
        <rFont val="Calibri"/>
        <family val="2"/>
        <charset val="238"/>
        <scheme val="minor"/>
      </rPr>
      <t>min</t>
    </r>
  </si>
  <si>
    <r>
      <t>ΔT</t>
    </r>
    <r>
      <rPr>
        <sz val="8"/>
        <color theme="1"/>
        <rFont val="Calibri"/>
        <family val="2"/>
        <charset val="238"/>
        <scheme val="minor"/>
      </rPr>
      <t>max</t>
    </r>
  </si>
  <si>
    <t>max 24h sneh</t>
  </si>
  <si>
    <t>Iniciácia</t>
  </si>
  <si>
    <t>Okolnosti vzniku</t>
  </si>
  <si>
    <t>Dni s bezoblačnou oblohou</t>
  </si>
  <si>
    <t>Dohľadnosť a oblačnosť</t>
  </si>
  <si>
    <t>Dni so zákalom</t>
  </si>
  <si>
    <t>Dni s usadenými zrážkami</t>
  </si>
  <si>
    <t>J</t>
  </si>
  <si>
    <t>SV</t>
  </si>
  <si>
    <t>S</t>
  </si>
  <si>
    <r>
      <t>H</t>
    </r>
    <r>
      <rPr>
        <sz val="8"/>
        <color theme="1"/>
        <rFont val="Calibri"/>
        <family val="2"/>
        <charset val="238"/>
        <scheme val="minor"/>
      </rPr>
      <t>max. (&gt;95%)</t>
    </r>
  </si>
  <si>
    <t>intenzita (1 min priemer)</t>
  </si>
  <si>
    <t>maximálna odrazivosť 2</t>
  </si>
  <si>
    <t>D , Z</t>
  </si>
  <si>
    <t>7/8, prehánky</t>
  </si>
  <si>
    <t>8/8</t>
  </si>
  <si>
    <t>8/8, ráno hmla</t>
  </si>
  <si>
    <r>
      <t>T</t>
    </r>
    <r>
      <rPr>
        <sz val="8"/>
        <color theme="1"/>
        <rFont val="Calibri"/>
        <family val="2"/>
        <charset val="238"/>
        <scheme val="minor"/>
      </rPr>
      <t>dpr.1min</t>
    </r>
  </si>
  <si>
    <r>
      <t>H</t>
    </r>
    <r>
      <rPr>
        <sz val="8"/>
        <color theme="1"/>
        <rFont val="Calibri"/>
        <family val="2"/>
        <charset val="238"/>
        <scheme val="minor"/>
      </rPr>
      <t>pr.1min</t>
    </r>
  </si>
  <si>
    <t>6/8, halové javy</t>
  </si>
  <si>
    <t>D , S , Z</t>
  </si>
  <si>
    <t>S , Z</t>
  </si>
  <si>
    <t>8/8, poprašok</t>
  </si>
  <si>
    <t>8/8, zvírený sneh, poprašok</t>
  </si>
  <si>
    <t>7/8, poprašok</t>
  </si>
  <si>
    <t>0/8, slnečný deň, poprašok</t>
  </si>
  <si>
    <t>5/8, poprašok</t>
  </si>
  <si>
    <t>S , N</t>
  </si>
  <si>
    <t>6/8, SSP</t>
  </si>
  <si>
    <t>8/8, nesúvislý poprašok</t>
  </si>
  <si>
    <t>7/8, NSP, snehové prehánky</t>
  </si>
  <si>
    <t>6/8, nesúvislý poprašok</t>
  </si>
  <si>
    <t>0/8, dymno, poprašok</t>
  </si>
  <si>
    <t>5/8, snehové prehánky, nesúvislý poprašok</t>
  </si>
  <si>
    <t>7/8, SSP</t>
  </si>
  <si>
    <t>2/8, slnečný deň</t>
  </si>
  <si>
    <t>7/8, dymno</t>
  </si>
  <si>
    <t>8/8, SSP</t>
  </si>
  <si>
    <t>D , N</t>
  </si>
  <si>
    <t>6/8, NSP, prehánky</t>
  </si>
  <si>
    <t>3/8, slnečný deň</t>
  </si>
  <si>
    <t>1/8, slnečný deň</t>
  </si>
  <si>
    <t>SSZ</t>
  </si>
  <si>
    <t>JZ</t>
  </si>
  <si>
    <t>JJV</t>
  </si>
  <si>
    <t>8/8, prehánky, hmla, dymno</t>
  </si>
  <si>
    <t>7/8, SSP, ráno hmla</t>
  </si>
  <si>
    <t>8/8, ráno hmla, dymno, prehánky</t>
  </si>
  <si>
    <t>D  ,Z</t>
  </si>
  <si>
    <t>7/8, ráno hmla v chuchvalcoch, prehánky</t>
  </si>
  <si>
    <t>7/8, ráno hmla, dymno</t>
  </si>
  <si>
    <t>7/8</t>
  </si>
  <si>
    <t>8/8, ráno dymno</t>
  </si>
  <si>
    <t>8/8, prehánky, ráno hmla v chuchvalcoch</t>
  </si>
  <si>
    <t>4/8</t>
  </si>
  <si>
    <t>4/8, slnečný deň</t>
  </si>
  <si>
    <t>3/8, ráno hmla</t>
  </si>
  <si>
    <t>6/8</t>
  </si>
  <si>
    <t>8/8, ráno hmla, prehánky</t>
  </si>
  <si>
    <t>7/8, ráno hmla</t>
  </si>
  <si>
    <t>7/8, ráno dymno</t>
  </si>
  <si>
    <t>5/8, slnečný deň</t>
  </si>
  <si>
    <t>JV</t>
  </si>
  <si>
    <t>D , K , Z</t>
  </si>
  <si>
    <t>5/8</t>
  </si>
  <si>
    <t>áno</t>
  </si>
  <si>
    <t>15:00-16:00</t>
  </si>
  <si>
    <t>studený front</t>
  </si>
  <si>
    <t>frontálne rozhranie</t>
  </si>
  <si>
    <t>W , P , D , K , Z</t>
  </si>
  <si>
    <t>multicela</t>
  </si>
  <si>
    <t>ZJZ-VSV</t>
  </si>
  <si>
    <t>P</t>
  </si>
  <si>
    <t>6/8, búrka</t>
  </si>
  <si>
    <t>8/8, prehánky</t>
  </si>
  <si>
    <t>5/8, ráno hmla v chuchvalcoch, krupkové prehánky</t>
  </si>
  <si>
    <t>6/8, ráno hmla, prehánky</t>
  </si>
  <si>
    <t>6/8, ráno hmla</t>
  </si>
  <si>
    <t>4/8, zákal, Saharská prach</t>
  </si>
  <si>
    <t>5/8, Saharský prach</t>
  </si>
  <si>
    <t>7/8, zákal, Saharský prach</t>
  </si>
  <si>
    <t>7/8, Zákal, Saharský prach</t>
  </si>
  <si>
    <t>7/8, ráno hmla v chuchvalcoch</t>
  </si>
  <si>
    <t>5/8, ráno hmla</t>
  </si>
  <si>
    <t>4/8, ráno hmla</t>
  </si>
  <si>
    <t>12:30-12:55</t>
  </si>
  <si>
    <t>zvlnený studený front</t>
  </si>
  <si>
    <t>W , L , D , Z</t>
  </si>
  <si>
    <t>V</t>
  </si>
  <si>
    <t>Z-V</t>
  </si>
  <si>
    <t>7/8, búrka, prehánky</t>
  </si>
  <si>
    <t>7/8, krupkové prehánky</t>
  </si>
  <si>
    <t>6/8, prehánky</t>
  </si>
  <si>
    <t>1/8, slnečný deň, ráno dymno</t>
  </si>
  <si>
    <t>Veľmi dlhá životnosť bunky a odklon vpravo od prevládajúceho postupu. Údaje o intenzite zrážok chýbajú.</t>
  </si>
  <si>
    <t>možná supercela</t>
  </si>
  <si>
    <t>3/8</t>
  </si>
  <si>
    <t>6/8, halové javy (22° halo)</t>
  </si>
  <si>
    <t>2/8</t>
  </si>
  <si>
    <t>2/8, slnečný deň, večer prehánky</t>
  </si>
  <si>
    <t>6/8, ráno hmla, búrka</t>
  </si>
  <si>
    <t>7/8, búrka, ráno hmla</t>
  </si>
  <si>
    <t>oblasť nízkeho tlaku vzduchu</t>
  </si>
  <si>
    <t>orografia</t>
  </si>
  <si>
    <t>14:00-16:00</t>
  </si>
  <si>
    <t>Multicelárny zhluk obnovujúci sa v okolí pozorovacieho miesta.</t>
  </si>
  <si>
    <t>W , P , D , Z</t>
  </si>
  <si>
    <t>12:00-14:35</t>
  </si>
  <si>
    <t>Zhluk orograficky iniciovanej multicelárnej konvekcie propagujúci sa z centrálnej časti krajiny na východ. Nad pozorovacím miestom viac charakter elektricky aktívnej stratiformy MCS a postupný rozpad.</t>
  </si>
  <si>
    <t>3/8, slnečný deň, ráno hmla</t>
  </si>
  <si>
    <t>4/8, slnečný deň, halové javy (22° halo)</t>
  </si>
  <si>
    <t>W , V</t>
  </si>
  <si>
    <t>oklúzny front</t>
  </si>
  <si>
    <t>W , V , D , N</t>
  </si>
  <si>
    <t>supercela</t>
  </si>
  <si>
    <t>JJZ-SSV</t>
  </si>
  <si>
    <t>13:45-14:50</t>
  </si>
  <si>
    <t>Takmer stacionárna bunka vykazujúca backbuilding. Na rovnakom mieste došlo znovu k iniciácii hlbokej konvekcie o 2 hodiny neskôr. Bunky nevykazovali v oboch prípadoch identifikovateľné supercelárne črty.</t>
  </si>
  <si>
    <t>stacionárna</t>
  </si>
  <si>
    <t>unicela</t>
  </si>
  <si>
    <t>15:40-16:00</t>
  </si>
  <si>
    <t>16:15-17:15</t>
  </si>
  <si>
    <t>Zhluk buniek iniciovaný v blízkosti supercely postupujúcej z okolia Košíc. Iniciacia ďalších buniek v okolí sueprcely prebehla pri prechode cez Slanské vrchy, no elektricky aktívta zotrvala najmä supercelárna bunka. Konvektívna bunka dosiahla krátkodobo v jadre veľmi vysokú radarovú odrazivosť.</t>
  </si>
  <si>
    <t>7/8, ráno hmla, búrka, prehánky</t>
  </si>
  <si>
    <t>Z</t>
  </si>
  <si>
    <t>6/8, ráno dymno</t>
  </si>
  <si>
    <t>6/8, ráno hmla v chuchvalcoch, večer prehánky</t>
  </si>
  <si>
    <t>5/8, ráno hmla, prehánky</t>
  </si>
  <si>
    <t>7/8, búrka</t>
  </si>
  <si>
    <t>nevýrazné tlakové pole</t>
  </si>
  <si>
    <t>5/8, búrka, ráno hmla</t>
  </si>
  <si>
    <t>0:40-2:10</t>
  </si>
  <si>
    <t>MCS</t>
  </si>
  <si>
    <t>MCS inciovaný na frontálnej vlne postupujúci na východ. Na čele čiastnočne lineárna organizácia buniek.</t>
  </si>
  <si>
    <t>2:10-4:30</t>
  </si>
  <si>
    <t>Prevažne elektricky aktívna stratiforma. Na čele skôr sporadická regenerácia v podobe konvektívnych buniek bez bleskovej aktivity.</t>
  </si>
  <si>
    <t>7/8, ráno búrka</t>
  </si>
  <si>
    <t>7/8, večer hmla v chuchvalcoch</t>
  </si>
  <si>
    <t>8/8, ráno hmla v chuchvalcoch</t>
  </si>
  <si>
    <t>7/8, ráno dymno, prehánky</t>
  </si>
  <si>
    <t>7/8, Saharský prach</t>
  </si>
  <si>
    <t>3/8, slnečný deň, Saharský prach</t>
  </si>
  <si>
    <t>11:10-11:45</t>
  </si>
  <si>
    <t>P , D , Z</t>
  </si>
  <si>
    <t>W , L , D , N</t>
  </si>
  <si>
    <t>13:45-14:30</t>
  </si>
  <si>
    <t>Neusporiadaný konvektívny zhluk. Blesková aktivita južne a severne od pozorovacieho miesta.</t>
  </si>
  <si>
    <t>Iniciácia nad Gemerom. Pri Vranove následne supercelárne črty (odklon bunky). Najvyššia odrazivosť zaznamenaná v supecelárnej bunky.</t>
  </si>
  <si>
    <t>ZSZ-VJV</t>
  </si>
  <si>
    <t>6/8, búrka, prehánky, Saharský prach</t>
  </si>
  <si>
    <t>18:20-19:40</t>
  </si>
  <si>
    <t>konvergentná zóna</t>
  </si>
  <si>
    <t>Iniciácia na konvergentnej zóna západne od pozorovacieho miesta. Prevažne supercelárna organizácia s viacerými črtami identifikovanými na radare. Bunka vznikajúca priamo nad pozorovacím miestom supercelárne črty nevykazovala. Konvekcia sa následne zlievala do MCS v rámci prehlbujúcej sa níže v závetrí Karpát.</t>
  </si>
  <si>
    <t>Orograficky iniciovaná konvekcia nad Karpatami propagujúca sa na outflow boundary smerom na juhovýchod.</t>
  </si>
  <si>
    <t>VSV-ZJZ</t>
  </si>
  <si>
    <t>14:40-15:40</t>
  </si>
  <si>
    <t>Orografická iniciácia na severnej strane Slanských vrchov.</t>
  </si>
  <si>
    <t>JZ-SV</t>
  </si>
  <si>
    <t>15:25-16:10</t>
  </si>
  <si>
    <t>6/8, ráno dymno, búrka</t>
  </si>
  <si>
    <t>1:40-1:55</t>
  </si>
  <si>
    <t>outflow boundary</t>
  </si>
  <si>
    <t>Zanikajúcí MCS s detegovaným jedným výbojom na bunka obnovujúcej sa na jeho čele.</t>
  </si>
  <si>
    <t>11:00-13:20</t>
  </si>
  <si>
    <t>Rozsiahlejšia iniciácia konvekcie na frontálnom rozhraní. Prvá, pravdepodobne supercelárna bunka vznikla južne od pozorovacieho miesta nad Slanskými vrchmi (pravdepodobne orografická iniciácia). Druhá bunka už postupovala následne v línii na frontálnom rozhraní a prešla priamo pozorovacím miestom. Na radare náznak bow echa, no bez významnejších nárazov vetra.</t>
  </si>
  <si>
    <t>6/8, prehánky, ráno dymno</t>
  </si>
  <si>
    <t>6/8, ráno hma</t>
  </si>
  <si>
    <t>VJV</t>
  </si>
  <si>
    <t>Výšková níž</t>
  </si>
  <si>
    <t>Ranná iniciácia v rámci nevýraznej výškovej brázdy.</t>
  </si>
  <si>
    <t>W , P, D , N</t>
  </si>
  <si>
    <t>8:30-10:00</t>
  </si>
  <si>
    <t>7/8, ráno hmla, tropická noc</t>
  </si>
  <si>
    <t>6/8, ráno hmla v chcuvalcoch</t>
  </si>
  <si>
    <t>4/8, ráno dymno</t>
  </si>
  <si>
    <t>2/8, ráno dymno, hmla, slnečný deň</t>
  </si>
  <si>
    <t>6/8, ráno dymno, hmla</t>
  </si>
  <si>
    <t>4/8, ráno dymno, tropická noc</t>
  </si>
  <si>
    <t>5/8, búrka</t>
  </si>
  <si>
    <t>16:00-18:35</t>
  </si>
  <si>
    <t>Backbuilding na severnej strane Slanských vrchov.</t>
  </si>
  <si>
    <t>4:40-6:40</t>
  </si>
  <si>
    <t>MCS postupujúci od západu. Západne od pozorovacieho miesta organizácia v podobe kompaktnej línie s identifikovateľnými niekoľkými prehnutými segmentami. Nad pozorovacím miestom regenerácia systému a viac roztrúsená organizácia nových buniek.</t>
  </si>
  <si>
    <t>13:30-15:30</t>
  </si>
  <si>
    <t>Dobre vyvinutý shelf cloud. Nad pozorovacím miestom postupná strata organizácie.</t>
  </si>
  <si>
    <t>Multicelárny zhluk, ktorý sa vytvoril na prednej strane dvojice postupujúcich superciel približne 30 km na západ od pozorovacieho miesta.</t>
  </si>
  <si>
    <t>15:50-17:10</t>
  </si>
  <si>
    <t>6/8, ráno búrka, hmla</t>
  </si>
  <si>
    <t>0:00-4:40</t>
  </si>
  <si>
    <t>10:15-11:40</t>
  </si>
  <si>
    <t>teplý sektor</t>
  </si>
  <si>
    <t>Postup J-JV od pozorovacieho miesta. Vranov nad Topľou silný downburst.</t>
  </si>
  <si>
    <t>Iniciácia a obnovovanie konvekcie nad pozorovacím miestom. Neskôr postupne zlievanie buniek do MCS.</t>
  </si>
  <si>
    <t>6/8, ráno hmla, tropická noc</t>
  </si>
  <si>
    <t>20:35-21:40</t>
  </si>
  <si>
    <t>V , D , Z</t>
  </si>
  <si>
    <t>6/8, ráno búrka</t>
  </si>
  <si>
    <t>6/8, prehánky, búrka</t>
  </si>
  <si>
    <t>výšková níž</t>
  </si>
  <si>
    <t>V-Z</t>
  </si>
  <si>
    <t>14:40-16:20</t>
  </si>
  <si>
    <t>2/8, ráno hmla, slnečný deň</t>
  </si>
  <si>
    <t>12:40-14:40</t>
  </si>
  <si>
    <t>5/8, ráno hmla v chuchvalcoch</t>
  </si>
  <si>
    <t>SSV</t>
  </si>
  <si>
    <t>5/8, slnečný deň, ráno hmla</t>
  </si>
  <si>
    <t>7/8, ráno hmla, prehánky</t>
  </si>
  <si>
    <t>3/8, ráno hmla, slnečný deň</t>
  </si>
  <si>
    <t>11:50-13:25</t>
  </si>
  <si>
    <t>10:10-12:30</t>
  </si>
  <si>
    <t>SSZ-JJV</t>
  </si>
  <si>
    <t xml:space="preserve">Chaotický multicelárny zhluk propagujúci sa pozdĺž orografie a neskôr aj outflow boundary na juhovýchod. </t>
  </si>
  <si>
    <t>19:40-20:25</t>
  </si>
  <si>
    <t>Čiastočne orografická iniciácia. Propagácia na VJV pozdĺž outflow boundary.</t>
  </si>
  <si>
    <t>15:40-17:15</t>
  </si>
  <si>
    <t>5/8, ráno hmla, búrka</t>
  </si>
  <si>
    <t>3/8, ráno hmla, búrka</t>
  </si>
  <si>
    <t>12:35-17:15</t>
  </si>
  <si>
    <t>konvergencia</t>
  </si>
  <si>
    <t>Iniciácia na konvergencii pred studeným frontom. Následne propagácia na V v podobe MCS. V závere prevažne elektricky aktívna stratiforma.</t>
  </si>
  <si>
    <t>6/8, ráno dymno, hmla v chuchvalcoch</t>
  </si>
  <si>
    <t>2/8, slnečný deň, ráno dymno</t>
  </si>
  <si>
    <t>SZ</t>
  </si>
  <si>
    <t xml:space="preserve">W , V </t>
  </si>
  <si>
    <t>SZ-JV</t>
  </si>
  <si>
    <t>12:40-13:00</t>
  </si>
  <si>
    <t>2/8, slnečný deň, ráno hmla, dymno</t>
  </si>
  <si>
    <t>4/8, ráno hmla, dymno, prehánka</t>
  </si>
  <si>
    <t>14:50-15:40</t>
  </si>
  <si>
    <t>J-S</t>
  </si>
  <si>
    <t>7/8, ráno dymno, búrka, prehánky</t>
  </si>
  <si>
    <t>výšková tlaková níž</t>
  </si>
  <si>
    <t>SV-JZ</t>
  </si>
  <si>
    <t>13:45-14:00</t>
  </si>
  <si>
    <t>5/8, prehánky, búrka</t>
  </si>
  <si>
    <t>2/8, ráno hmla</t>
  </si>
  <si>
    <t>1/8, ráno hmla, dymno, slnečný deň</t>
  </si>
  <si>
    <t>1/8, ráno hmla, slnečný deň</t>
  </si>
  <si>
    <t>7/8, prehánky, búrka</t>
  </si>
  <si>
    <t>15:35-15:50</t>
  </si>
  <si>
    <t>6/8, ráno hmla v chuchvalcoch, dymno, v noci polárna žiara</t>
  </si>
  <si>
    <t>7/8, nadránom hmla</t>
  </si>
  <si>
    <t>U , Z</t>
  </si>
  <si>
    <t>7/8, ráno prehánky</t>
  </si>
  <si>
    <t>8/8, hmla, dymno</t>
  </si>
  <si>
    <t>6/8, ráno hmla, dymno</t>
  </si>
  <si>
    <t>2/8, ráno hmla, dymno</t>
  </si>
  <si>
    <t>8/8, dymno</t>
  </si>
  <si>
    <t>D , S , N</t>
  </si>
  <si>
    <t>8/8, ráno hmla, dymno</t>
  </si>
  <si>
    <t>6/8, poprašok</t>
  </si>
  <si>
    <t>6/8, NSP</t>
  </si>
  <si>
    <t>8/8, hmla</t>
  </si>
  <si>
    <t>8/8, NSP</t>
  </si>
  <si>
    <t>7/8, snehové prehánky</t>
  </si>
  <si>
    <t>7/8, hmla, dymno</t>
  </si>
  <si>
    <t>8/8, SSP, hmla v chuchvalcoch, dymno</t>
  </si>
  <si>
    <t>7/8, NSP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</si>
</sst>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&quot; °C&quot;"/>
    <numFmt numFmtId="165" formatCode="0.0&quot; hPa&quot;"/>
    <numFmt numFmtId="166" formatCode="0.0&quot; %&quot;"/>
    <numFmt numFmtId="167" formatCode="0.0&quot; m/s&quot;"/>
    <numFmt numFmtId="168" formatCode="0.0&quot; km&quot;"/>
    <numFmt numFmtId="169" formatCode="0.0&quot; mm/h&quot;"/>
    <numFmt numFmtId="170" formatCode="0.0&quot; mm&quot;"/>
    <numFmt numFmtId="171" formatCode="0.0&quot; cm&quot;"/>
    <numFmt numFmtId="172" formatCode="0&quot; dBz&quot;"/>
    <numFmt numFmtId="173" formatCode="0&quot; bleskov&quot;"/>
    <numFmt numFmtId="174" formatCode="0&quot; X&quot;"/>
  </numFmts>
  <fonts count="2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charset val="238"/>
    </font>
  </fonts>
  <fills count="6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D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3" fillId="0" borderId="0" applyNumberFormat="0" applyFill="0" applyBorder="0" applyAlignment="0" applyProtection="0"/>
    <xf numFmtId="0" fontId="14" fillId="0" borderId="65" applyNumberFormat="0" applyFill="0" applyAlignment="0" applyProtection="0"/>
    <xf numFmtId="0" fontId="15" fillId="0" borderId="66" applyNumberFormat="0" applyFill="0" applyAlignment="0" applyProtection="0"/>
    <xf numFmtId="0" fontId="16" fillId="0" borderId="67" applyNumberFormat="0" applyFill="0" applyAlignment="0" applyProtection="0"/>
    <xf numFmtId="0" fontId="16" fillId="0" borderId="0" applyNumberFormat="0" applyFill="0" applyBorder="0" applyAlignment="0" applyProtection="0"/>
    <xf numFmtId="0" fontId="17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36" borderId="68" applyNumberFormat="0" applyAlignment="0" applyProtection="0"/>
    <xf numFmtId="0" fontId="21" fillId="37" borderId="69" applyNumberFormat="0" applyAlignment="0" applyProtection="0"/>
    <xf numFmtId="0" fontId="22" fillId="37" borderId="68" applyNumberFormat="0" applyAlignment="0" applyProtection="0"/>
    <xf numFmtId="0" fontId="23" fillId="0" borderId="70" applyNumberFormat="0" applyFill="0" applyAlignment="0" applyProtection="0"/>
    <xf numFmtId="0" fontId="24" fillId="38" borderId="71" applyNumberFormat="0" applyAlignment="0" applyProtection="0"/>
    <xf numFmtId="0" fontId="25" fillId="0" borderId="0" applyNumberFormat="0" applyFill="0" applyBorder="0" applyAlignment="0" applyProtection="0"/>
    <xf numFmtId="0" fontId="12" fillId="39" borderId="72" applyNumberFormat="0" applyFont="0" applyAlignment="0" applyProtection="0"/>
    <xf numFmtId="0" fontId="26" fillId="0" borderId="0" applyNumberFormat="0" applyFill="0" applyBorder="0" applyAlignment="0" applyProtection="0"/>
    <xf numFmtId="0" fontId="7" fillId="0" borderId="73" applyNumberFormat="0" applyFill="0" applyAlignment="0" applyProtection="0"/>
    <xf numFmtId="0" fontId="27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27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27" fillId="48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2" fillId="51" borderId="0" applyNumberFormat="0" applyBorder="0" applyAlignment="0" applyProtection="0"/>
    <xf numFmtId="0" fontId="27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2" fillId="55" borderId="0" applyNumberFormat="0" applyBorder="0" applyAlignment="0" applyProtection="0"/>
    <xf numFmtId="0" fontId="27" fillId="56" borderId="0" applyNumberFormat="0" applyBorder="0" applyAlignment="0" applyProtection="0"/>
    <xf numFmtId="0" fontId="12" fillId="57" borderId="0" applyNumberFormat="0" applyBorder="0" applyAlignment="0" applyProtection="0"/>
    <xf numFmtId="0" fontId="12" fillId="58" borderId="0" applyNumberFormat="0" applyBorder="0" applyAlignment="0" applyProtection="0"/>
    <xf numFmtId="0" fontId="12" fillId="59" borderId="0" applyNumberFormat="0" applyBorder="0" applyAlignment="0" applyProtection="0"/>
    <xf numFmtId="0" fontId="27" fillId="60" borderId="0" applyNumberFormat="0" applyBorder="0" applyAlignment="0" applyProtection="0"/>
    <xf numFmtId="0" fontId="12" fillId="61" borderId="0" applyNumberFormat="0" applyBorder="0" applyAlignment="0" applyProtection="0"/>
    <xf numFmtId="0" fontId="12" fillId="62" borderId="0" applyNumberFormat="0" applyBorder="0" applyAlignment="0" applyProtection="0"/>
    <xf numFmtId="0" fontId="12" fillId="63" borderId="0" applyNumberFormat="0" applyBorder="0" applyAlignment="0" applyProtection="0"/>
    <xf numFmtId="0" fontId="28" fillId="0" borderId="0"/>
  </cellStyleXfs>
  <cellXfs count="523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4" xfId="0" applyNumberFormat="1" applyBorder="1" applyAlignment="1">
      <alignment wrapText="1"/>
    </xf>
    <xf numFmtId="167" fontId="0" fillId="0" borderId="5" xfId="0" applyNumberFormat="1" applyBorder="1" applyAlignment="1">
      <alignment wrapText="1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5" xfId="0" applyNumberFormat="1" applyBorder="1" applyAlignment="1">
      <alignment wrapText="1"/>
    </xf>
    <xf numFmtId="170" fontId="0" fillId="0" borderId="0" xfId="0" applyNumberFormat="1"/>
    <xf numFmtId="171" fontId="0" fillId="0" borderId="5" xfId="0" applyNumberFormat="1" applyBorder="1" applyAlignment="1">
      <alignment wrapText="1"/>
    </xf>
    <xf numFmtId="171" fontId="0" fillId="0" borderId="0" xfId="0" applyNumberFormat="1"/>
    <xf numFmtId="171" fontId="0" fillId="0" borderId="6" xfId="0" applyNumberFormat="1" applyBorder="1" applyAlignment="1">
      <alignment wrapText="1"/>
    </xf>
    <xf numFmtId="164" fontId="0" fillId="0" borderId="7" xfId="0" applyNumberFormat="1" applyBorder="1"/>
    <xf numFmtId="0" fontId="0" fillId="0" borderId="9" xfId="0" applyBorder="1"/>
    <xf numFmtId="169" fontId="0" fillId="2" borderId="7" xfId="0" applyNumberFormat="1" applyFill="1" applyBorder="1"/>
    <xf numFmtId="170" fontId="0" fillId="2" borderId="7" xfId="0" applyNumberFormat="1" applyFill="1" applyBorder="1"/>
    <xf numFmtId="171" fontId="0" fillId="2" borderId="7" xfId="0" applyNumberFormat="1" applyFill="1" applyBorder="1"/>
    <xf numFmtId="167" fontId="0" fillId="2" borderId="7" xfId="0" applyNumberFormat="1" applyFill="1" applyBorder="1"/>
    <xf numFmtId="0" fontId="0" fillId="0" borderId="7" xfId="0" applyBorder="1"/>
    <xf numFmtId="165" fontId="0" fillId="0" borderId="7" xfId="0" applyNumberFormat="1" applyBorder="1"/>
    <xf numFmtId="164" fontId="0" fillId="0" borderId="14" xfId="0" applyNumberFormat="1" applyBorder="1"/>
    <xf numFmtId="165" fontId="0" fillId="0" borderId="5" xfId="0" applyNumberFormat="1" applyBorder="1"/>
    <xf numFmtId="166" fontId="0" fillId="0" borderId="7" xfId="0" applyNumberFormat="1" applyBorder="1"/>
    <xf numFmtId="167" fontId="0" fillId="0" borderId="7" xfId="0" applyNumberFormat="1" applyBorder="1"/>
    <xf numFmtId="169" fontId="0" fillId="0" borderId="7" xfId="0" applyNumberFormat="1" applyBorder="1"/>
    <xf numFmtId="170" fontId="0" fillId="0" borderId="7" xfId="0" applyNumberFormat="1" applyBorder="1"/>
    <xf numFmtId="171" fontId="0" fillId="0" borderId="7" xfId="0" applyNumberFormat="1" applyBorder="1"/>
    <xf numFmtId="164" fontId="0" fillId="0" borderId="25" xfId="0" applyNumberFormat="1" applyBorder="1"/>
    <xf numFmtId="166" fontId="0" fillId="0" borderId="25" xfId="0" applyNumberFormat="1" applyBorder="1"/>
    <xf numFmtId="165" fontId="0" fillId="0" borderId="25" xfId="0" applyNumberFormat="1" applyBorder="1"/>
    <xf numFmtId="167" fontId="0" fillId="0" borderId="25" xfId="0" applyNumberFormat="1" applyBorder="1"/>
    <xf numFmtId="0" fontId="0" fillId="0" borderId="25" xfId="0" applyBorder="1"/>
    <xf numFmtId="164" fontId="0" fillId="0" borderId="5" xfId="0" applyNumberFormat="1" applyBorder="1"/>
    <xf numFmtId="0" fontId="0" fillId="0" borderId="28" xfId="0" applyBorder="1"/>
    <xf numFmtId="0" fontId="0" fillId="0" borderId="5" xfId="0" applyBorder="1"/>
    <xf numFmtId="164" fontId="0" fillId="0" borderId="23" xfId="0" applyNumberFormat="1" applyBorder="1"/>
    <xf numFmtId="164" fontId="0" fillId="0" borderId="13" xfId="0" applyNumberFormat="1" applyBorder="1"/>
    <xf numFmtId="167" fontId="0" fillId="0" borderId="14" xfId="0" applyNumberFormat="1" applyBorder="1"/>
    <xf numFmtId="169" fontId="0" fillId="0" borderId="14" xfId="0" applyNumberFormat="1" applyBorder="1"/>
    <xf numFmtId="170" fontId="0" fillId="0" borderId="14" xfId="0" applyNumberFormat="1" applyBorder="1"/>
    <xf numFmtId="171" fontId="0" fillId="0" borderId="14" xfId="0" applyNumberFormat="1" applyBorder="1"/>
    <xf numFmtId="0" fontId="1" fillId="0" borderId="10" xfId="0" applyFont="1" applyBorder="1" applyAlignment="1">
      <alignment horizontal="center" vertical="center"/>
    </xf>
    <xf numFmtId="164" fontId="0" fillId="0" borderId="4" xfId="0" applyNumberFormat="1" applyBorder="1"/>
    <xf numFmtId="169" fontId="0" fillId="0" borderId="4" xfId="0" applyNumberFormat="1" applyBorder="1" applyAlignment="1">
      <alignment wrapText="1"/>
    </xf>
    <xf numFmtId="165" fontId="0" fillId="0" borderId="28" xfId="0" applyNumberFormat="1" applyBorder="1"/>
    <xf numFmtId="167" fontId="0" fillId="0" borderId="21" xfId="0" applyNumberFormat="1" applyBorder="1"/>
    <xf numFmtId="167" fontId="0" fillId="2" borderId="21" xfId="0" applyNumberFormat="1" applyFill="1" applyBorder="1"/>
    <xf numFmtId="167" fontId="0" fillId="0" borderId="32" xfId="0" applyNumberFormat="1" applyBorder="1"/>
    <xf numFmtId="164" fontId="0" fillId="0" borderId="20" xfId="0" applyNumberFormat="1" applyBorder="1"/>
    <xf numFmtId="0" fontId="0" fillId="2" borderId="7" xfId="0" applyFill="1" applyBorder="1"/>
    <xf numFmtId="166" fontId="0" fillId="0" borderId="14" xfId="0" applyNumberFormat="1" applyBorder="1"/>
    <xf numFmtId="165" fontId="0" fillId="0" borderId="14" xfId="0" applyNumberFormat="1" applyBorder="1"/>
    <xf numFmtId="167" fontId="0" fillId="0" borderId="23" xfId="0" applyNumberFormat="1" applyBorder="1"/>
    <xf numFmtId="167" fontId="0" fillId="2" borderId="23" xfId="0" applyNumberFormat="1" applyFill="1" applyBorder="1"/>
    <xf numFmtId="167" fontId="0" fillId="0" borderId="13" xfId="0" applyNumberFormat="1" applyBorder="1"/>
    <xf numFmtId="164" fontId="0" fillId="0" borderId="39" xfId="0" applyNumberFormat="1" applyBorder="1"/>
    <xf numFmtId="164" fontId="0" fillId="0" borderId="26" xfId="0" applyNumberFormat="1" applyBorder="1"/>
    <xf numFmtId="167" fontId="0" fillId="0" borderId="28" xfId="0" applyNumberFormat="1" applyBorder="1" applyAlignment="1">
      <alignment wrapText="1"/>
    </xf>
    <xf numFmtId="164" fontId="0" fillId="0" borderId="24" xfId="0" applyNumberFormat="1" applyBorder="1"/>
    <xf numFmtId="164" fontId="0" fillId="0" borderId="16" xfId="0" applyNumberFormat="1" applyBorder="1"/>
    <xf numFmtId="166" fontId="0" fillId="0" borderId="24" xfId="0" applyNumberFormat="1" applyBorder="1"/>
    <xf numFmtId="166" fontId="0" fillId="0" borderId="16" xfId="0" applyNumberFormat="1" applyBorder="1"/>
    <xf numFmtId="1" fontId="0" fillId="0" borderId="7" xfId="0" applyNumberFormat="1" applyBorder="1"/>
    <xf numFmtId="164" fontId="0" fillId="0" borderId="40" xfId="0" applyNumberFormat="1" applyBorder="1"/>
    <xf numFmtId="166" fontId="0" fillId="0" borderId="23" xfId="0" applyNumberFormat="1" applyBorder="1"/>
    <xf numFmtId="166" fontId="0" fillId="0" borderId="13" xfId="0" applyNumberFormat="1" applyBorder="1"/>
    <xf numFmtId="0" fontId="0" fillId="0" borderId="5" xfId="0" applyBorder="1" applyAlignment="1">
      <alignment wrapText="1"/>
    </xf>
    <xf numFmtId="1" fontId="0" fillId="0" borderId="25" xfId="0" applyNumberFormat="1" applyBorder="1"/>
    <xf numFmtId="1" fontId="0" fillId="0" borderId="37" xfId="0" applyNumberFormat="1" applyBorder="1"/>
    <xf numFmtId="1" fontId="0" fillId="0" borderId="38" xfId="0" applyNumberFormat="1" applyBorder="1"/>
    <xf numFmtId="1" fontId="1" fillId="23" borderId="1" xfId="0" applyNumberFormat="1" applyFont="1" applyFill="1" applyBorder="1" applyAlignment="1">
      <alignment horizontal="left" vertical="center"/>
    </xf>
    <xf numFmtId="1" fontId="0" fillId="23" borderId="5" xfId="0" applyNumberFormat="1" applyFill="1" applyBorder="1"/>
    <xf numFmtId="1" fontId="0" fillId="0" borderId="21" xfId="0" applyNumberFormat="1" applyBorder="1"/>
    <xf numFmtId="1" fontId="0" fillId="23" borderId="28" xfId="0" applyNumberFormat="1" applyFill="1" applyBorder="1"/>
    <xf numFmtId="1" fontId="0" fillId="0" borderId="26" xfId="0" applyNumberFormat="1" applyBorder="1"/>
    <xf numFmtId="1" fontId="0" fillId="23" borderId="29" xfId="0" applyNumberFormat="1" applyFill="1" applyBorder="1"/>
    <xf numFmtId="1" fontId="0" fillId="0" borderId="27" xfId="0" applyNumberFormat="1" applyBorder="1"/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33" xfId="0" applyBorder="1"/>
    <xf numFmtId="164" fontId="3" fillId="0" borderId="5" xfId="0" applyNumberFormat="1" applyFont="1" applyBorder="1"/>
    <xf numFmtId="0" fontId="3" fillId="0" borderId="6" xfId="0" applyFont="1" applyBorder="1"/>
    <xf numFmtId="169" fontId="0" fillId="2" borderId="25" xfId="0" applyNumberFormat="1" applyFill="1" applyBorder="1"/>
    <xf numFmtId="170" fontId="0" fillId="2" borderId="25" xfId="0" applyNumberFormat="1" applyFill="1" applyBorder="1"/>
    <xf numFmtId="171" fontId="0" fillId="2" borderId="25" xfId="0" applyNumberFormat="1" applyFill="1" applyBorder="1"/>
    <xf numFmtId="166" fontId="0" fillId="0" borderId="40" xfId="0" applyNumberFormat="1" applyBorder="1"/>
    <xf numFmtId="167" fontId="0" fillId="0" borderId="27" xfId="0" applyNumberFormat="1" applyBorder="1"/>
    <xf numFmtId="167" fontId="0" fillId="0" borderId="39" xfId="0" applyNumberFormat="1" applyBorder="1"/>
    <xf numFmtId="166" fontId="0" fillId="0" borderId="39" xfId="0" applyNumberFormat="1" applyBorder="1"/>
    <xf numFmtId="0" fontId="0" fillId="0" borderId="44" xfId="0" applyBorder="1"/>
    <xf numFmtId="0" fontId="0" fillId="0" borderId="45" xfId="0" applyBorder="1"/>
    <xf numFmtId="166" fontId="3" fillId="0" borderId="4" xfId="0" applyNumberFormat="1" applyFont="1" applyBorder="1"/>
    <xf numFmtId="166" fontId="3" fillId="0" borderId="5" xfId="0" applyNumberFormat="1" applyFont="1" applyBorder="1"/>
    <xf numFmtId="0" fontId="0" fillId="0" borderId="6" xfId="0" applyBorder="1"/>
    <xf numFmtId="20" fontId="0" fillId="0" borderId="29" xfId="0" applyNumberFormat="1" applyBorder="1" applyAlignment="1">
      <alignment wrapText="1"/>
    </xf>
    <xf numFmtId="169" fontId="0" fillId="0" borderId="28" xfId="0" applyNumberFormat="1" applyBorder="1" applyAlignment="1">
      <alignment wrapText="1"/>
    </xf>
    <xf numFmtId="0" fontId="0" fillId="22" borderId="7" xfId="0" applyFill="1" applyBorder="1" applyAlignment="1">
      <alignment horizontal="center" wrapText="1"/>
    </xf>
    <xf numFmtId="0" fontId="1" fillId="0" borderId="37" xfId="0" applyFont="1" applyBorder="1" applyAlignment="1">
      <alignment vertical="center" wrapText="1"/>
    </xf>
    <xf numFmtId="0" fontId="1" fillId="27" borderId="5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26" borderId="4" xfId="0" applyFont="1" applyFill="1" applyBorder="1" applyAlignment="1">
      <alignment horizontal="center" vertical="center" wrapText="1"/>
    </xf>
    <xf numFmtId="0" fontId="7" fillId="26" borderId="5" xfId="0" applyFont="1" applyFill="1" applyBorder="1" applyAlignment="1">
      <alignment horizontal="center" vertical="center" wrapText="1"/>
    </xf>
    <xf numFmtId="0" fontId="7" fillId="26" borderId="6" xfId="0" applyFont="1" applyFill="1" applyBorder="1" applyAlignment="1">
      <alignment horizontal="center" vertical="center" wrapText="1"/>
    </xf>
    <xf numFmtId="0" fontId="7" fillId="28" borderId="5" xfId="0" applyFont="1" applyFill="1" applyBorder="1" applyAlignment="1">
      <alignment horizontal="center" vertical="center" wrapText="1"/>
    </xf>
    <xf numFmtId="0" fontId="7" fillId="28" borderId="2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20" borderId="4" xfId="0" applyFont="1" applyFill="1" applyBorder="1" applyAlignment="1">
      <alignment vertical="center" wrapText="1"/>
    </xf>
    <xf numFmtId="0" fontId="0" fillId="20" borderId="5" xfId="0" applyFill="1" applyBorder="1" applyAlignment="1">
      <alignment vertical="center" wrapText="1"/>
    </xf>
    <xf numFmtId="172" fontId="0" fillId="20" borderId="5" xfId="0" applyNumberFormat="1" applyFill="1" applyBorder="1" applyAlignment="1">
      <alignment vertical="center" wrapText="1"/>
    </xf>
    <xf numFmtId="0" fontId="7" fillId="20" borderId="5" xfId="0" applyFont="1" applyFill="1" applyBorder="1" applyAlignment="1">
      <alignment horizontal="center" vertical="center" wrapText="1"/>
    </xf>
    <xf numFmtId="0" fontId="1" fillId="20" borderId="5" xfId="0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72" fontId="0" fillId="0" borderId="7" xfId="0" applyNumberFormat="1" applyBorder="1" applyAlignment="1">
      <alignment vertical="center" wrapText="1"/>
    </xf>
    <xf numFmtId="168" fontId="0" fillId="0" borderId="7" xfId="0" applyNumberFormat="1" applyBorder="1" applyAlignment="1">
      <alignment vertical="center" wrapText="1"/>
    </xf>
    <xf numFmtId="167" fontId="0" fillId="0" borderId="7" xfId="0" applyNumberFormat="1" applyBorder="1" applyAlignment="1">
      <alignment vertical="center" wrapText="1"/>
    </xf>
    <xf numFmtId="169" fontId="0" fillId="0" borderId="7" xfId="0" applyNumberFormat="1" applyBorder="1" applyAlignment="1">
      <alignment vertical="center" wrapText="1"/>
    </xf>
    <xf numFmtId="170" fontId="0" fillId="0" borderId="7" xfId="0" applyNumberFormat="1" applyBorder="1" applyAlignment="1">
      <alignment vertical="center" wrapText="1"/>
    </xf>
    <xf numFmtId="171" fontId="0" fillId="0" borderId="7" xfId="0" applyNumberFormat="1" applyBorder="1" applyAlignment="1">
      <alignment vertical="center" wrapText="1"/>
    </xf>
    <xf numFmtId="14" fontId="9" fillId="20" borderId="4" xfId="0" applyNumberFormat="1" applyFont="1" applyFill="1" applyBorder="1" applyAlignment="1">
      <alignment vertical="center" wrapText="1"/>
    </xf>
    <xf numFmtId="168" fontId="0" fillId="20" borderId="5" xfId="0" applyNumberFormat="1" applyFill="1" applyBorder="1" applyAlignment="1">
      <alignment vertical="center" wrapText="1"/>
    </xf>
    <xf numFmtId="167" fontId="0" fillId="20" borderId="5" xfId="0" applyNumberFormat="1" applyFill="1" applyBorder="1" applyAlignment="1">
      <alignment vertical="center" wrapText="1"/>
    </xf>
    <xf numFmtId="169" fontId="0" fillId="20" borderId="5" xfId="0" applyNumberFormat="1" applyFill="1" applyBorder="1" applyAlignment="1">
      <alignment vertical="center" wrapText="1"/>
    </xf>
    <xf numFmtId="170" fontId="0" fillId="20" borderId="5" xfId="0" applyNumberFormat="1" applyFill="1" applyBorder="1" applyAlignment="1">
      <alignment vertical="center" wrapText="1"/>
    </xf>
    <xf numFmtId="171" fontId="0" fillId="20" borderId="5" xfId="0" applyNumberFormat="1" applyFill="1" applyBorder="1" applyAlignment="1">
      <alignment vertical="center" wrapText="1"/>
    </xf>
    <xf numFmtId="0" fontId="0" fillId="20" borderId="29" xfId="0" applyFill="1" applyBorder="1" applyAlignment="1">
      <alignment vertical="center" wrapText="1"/>
    </xf>
    <xf numFmtId="14" fontId="0" fillId="0" borderId="37" xfId="0" applyNumberForma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172" fontId="0" fillId="0" borderId="37" xfId="0" applyNumberFormat="1" applyBorder="1" applyAlignment="1">
      <alignment vertical="center" wrapText="1"/>
    </xf>
    <xf numFmtId="168" fontId="0" fillId="0" borderId="37" xfId="0" applyNumberFormat="1" applyBorder="1" applyAlignment="1">
      <alignment vertical="center" wrapText="1"/>
    </xf>
    <xf numFmtId="167" fontId="0" fillId="0" borderId="37" xfId="0" applyNumberFormat="1" applyBorder="1" applyAlignment="1">
      <alignment vertical="center" wrapText="1"/>
    </xf>
    <xf numFmtId="169" fontId="0" fillId="0" borderId="37" xfId="0" applyNumberFormat="1" applyBorder="1" applyAlignment="1">
      <alignment vertical="center" wrapText="1"/>
    </xf>
    <xf numFmtId="170" fontId="0" fillId="0" borderId="37" xfId="0" applyNumberFormat="1" applyBorder="1" applyAlignment="1">
      <alignment vertical="center" wrapText="1"/>
    </xf>
    <xf numFmtId="171" fontId="0" fillId="0" borderId="37" xfId="0" applyNumberFormat="1" applyBorder="1" applyAlignment="1">
      <alignment vertical="center" wrapText="1"/>
    </xf>
    <xf numFmtId="14" fontId="4" fillId="20" borderId="37" xfId="0" applyNumberFormat="1" applyFont="1" applyFill="1" applyBorder="1" applyAlignment="1">
      <alignment vertical="center" wrapText="1"/>
    </xf>
    <xf numFmtId="20" fontId="0" fillId="0" borderId="37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2" borderId="7" xfId="0" applyFill="1" applyBorder="1" applyAlignment="1">
      <alignment horizontal="center"/>
    </xf>
    <xf numFmtId="0" fontId="0" fillId="2" borderId="37" xfId="0" applyFill="1" applyBorder="1"/>
    <xf numFmtId="0" fontId="0" fillId="0" borderId="7" xfId="0" applyBorder="1" applyAlignment="1">
      <alignment horizontal="center" vertical="center" wrapText="1"/>
    </xf>
    <xf numFmtId="0" fontId="0" fillId="17" borderId="7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14" fontId="4" fillId="20" borderId="4" xfId="0" applyNumberFormat="1" applyFont="1" applyFill="1" applyBorder="1" applyAlignment="1">
      <alignment vertical="center" wrapText="1"/>
    </xf>
    <xf numFmtId="172" fontId="0" fillId="0" borderId="5" xfId="0" applyNumberFormat="1" applyBorder="1" applyAlignment="1">
      <alignment vertical="center" wrapText="1"/>
    </xf>
    <xf numFmtId="168" fontId="0" fillId="0" borderId="5" xfId="0" applyNumberFormat="1" applyBorder="1" applyAlignment="1">
      <alignment vertical="center" wrapText="1"/>
    </xf>
    <xf numFmtId="167" fontId="0" fillId="0" borderId="5" xfId="0" applyNumberFormat="1" applyBorder="1" applyAlignment="1">
      <alignment vertical="center" wrapText="1"/>
    </xf>
    <xf numFmtId="169" fontId="0" fillId="0" borderId="5" xfId="0" applyNumberFormat="1" applyBorder="1" applyAlignment="1">
      <alignment vertical="center" wrapText="1"/>
    </xf>
    <xf numFmtId="170" fontId="0" fillId="0" borderId="5" xfId="0" applyNumberFormat="1" applyBorder="1" applyAlignment="1">
      <alignment vertical="center" wrapText="1"/>
    </xf>
    <xf numFmtId="171" fontId="0" fillId="0" borderId="5" xfId="0" applyNumberFormat="1" applyBorder="1" applyAlignment="1">
      <alignment vertical="center" wrapText="1"/>
    </xf>
    <xf numFmtId="166" fontId="0" fillId="0" borderId="47" xfId="0" applyNumberFormat="1" applyBorder="1"/>
    <xf numFmtId="166" fontId="0" fillId="0" borderId="48" xfId="0" applyNumberFormat="1" applyBorder="1"/>
    <xf numFmtId="173" fontId="7" fillId="28" borderId="4" xfId="0" applyNumberFormat="1" applyFont="1" applyFill="1" applyBorder="1" applyAlignment="1">
      <alignment horizontal="center" vertical="center" wrapText="1"/>
    </xf>
    <xf numFmtId="173" fontId="0" fillId="0" borderId="7" xfId="0" applyNumberFormat="1" applyBorder="1" applyAlignment="1">
      <alignment vertical="center" wrapText="1"/>
    </xf>
    <xf numFmtId="173" fontId="7" fillId="20" borderId="5" xfId="0" applyNumberFormat="1" applyFont="1" applyFill="1" applyBorder="1" applyAlignment="1">
      <alignment horizontal="center" vertical="center" wrapText="1"/>
    </xf>
    <xf numFmtId="173" fontId="0" fillId="20" borderId="5" xfId="0" applyNumberFormat="1" applyFill="1" applyBorder="1" applyAlignment="1">
      <alignment vertical="center" wrapText="1"/>
    </xf>
    <xf numFmtId="173" fontId="0" fillId="0" borderId="37" xfId="0" applyNumberFormat="1" applyBorder="1" applyAlignment="1">
      <alignment vertical="center" wrapText="1"/>
    </xf>
    <xf numFmtId="173" fontId="0" fillId="0" borderId="5" xfId="0" applyNumberFormat="1" applyBorder="1" applyAlignment="1">
      <alignment vertical="center" wrapText="1"/>
    </xf>
    <xf numFmtId="173" fontId="0" fillId="0" borderId="7" xfId="0" applyNumberFormat="1" applyBorder="1" applyAlignment="1">
      <alignment horizontal="center" vertical="center" wrapText="1"/>
    </xf>
    <xf numFmtId="173" fontId="2" fillId="2" borderId="7" xfId="0" applyNumberFormat="1" applyFont="1" applyFill="1" applyBorder="1" applyAlignment="1">
      <alignment horizontal="center"/>
    </xf>
    <xf numFmtId="164" fontId="0" fillId="0" borderId="21" xfId="0" applyNumberFormat="1" applyBorder="1"/>
    <xf numFmtId="164" fontId="0" fillId="0" borderId="32" xfId="0" applyNumberFormat="1" applyBorder="1"/>
    <xf numFmtId="0" fontId="0" fillId="20" borderId="18" xfId="0" applyFill="1" applyBorder="1"/>
    <xf numFmtId="0" fontId="0" fillId="20" borderId="9" xfId="0" applyFill="1" applyBorder="1"/>
    <xf numFmtId="0" fontId="0" fillId="20" borderId="19" xfId="0" applyFill="1" applyBorder="1"/>
    <xf numFmtId="0" fontId="0" fillId="20" borderId="18" xfId="0" applyFill="1" applyBorder="1" applyAlignment="1">
      <alignment wrapText="1"/>
    </xf>
    <xf numFmtId="0" fontId="0" fillId="20" borderId="8" xfId="0" applyFill="1" applyBorder="1" applyAlignment="1">
      <alignment wrapText="1"/>
    </xf>
    <xf numFmtId="0" fontId="0" fillId="20" borderId="9" xfId="0" applyFill="1" applyBorder="1" applyAlignment="1">
      <alignment wrapText="1"/>
    </xf>
    <xf numFmtId="0" fontId="0" fillId="20" borderId="19" xfId="0" applyFill="1" applyBorder="1" applyAlignment="1">
      <alignment wrapText="1"/>
    </xf>
    <xf numFmtId="0" fontId="0" fillId="0" borderId="40" xfId="0" applyBorder="1"/>
    <xf numFmtId="0" fontId="0" fillId="0" borderId="24" xfId="0" applyBorder="1"/>
    <xf numFmtId="0" fontId="0" fillId="0" borderId="16" xfId="0" applyBorder="1"/>
    <xf numFmtId="0" fontId="0" fillId="0" borderId="7" xfId="0" applyBorder="1" applyAlignment="1">
      <alignment wrapText="1"/>
    </xf>
    <xf numFmtId="0" fontId="1" fillId="2" borderId="33" xfId="0" applyFont="1" applyFill="1" applyBorder="1" applyAlignment="1">
      <alignment horizontal="left" vertical="center"/>
    </xf>
    <xf numFmtId="164" fontId="0" fillId="2" borderId="4" xfId="0" applyNumberFormat="1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6" fontId="0" fillId="2" borderId="28" xfId="0" applyNumberFormat="1" applyFill="1" applyBorder="1"/>
    <xf numFmtId="166" fontId="0" fillId="2" borderId="5" xfId="0" applyNumberFormat="1" applyFill="1" applyBorder="1"/>
    <xf numFmtId="166" fontId="0" fillId="2" borderId="29" xfId="0" applyNumberFormat="1" applyFill="1" applyBorder="1"/>
    <xf numFmtId="165" fontId="0" fillId="2" borderId="4" xfId="0" applyNumberFormat="1" applyFill="1" applyBorder="1"/>
    <xf numFmtId="165" fontId="0" fillId="2" borderId="5" xfId="0" applyNumberFormat="1" applyFill="1" applyBorder="1"/>
    <xf numFmtId="167" fontId="0" fillId="2" borderId="5" xfId="0" applyNumberFormat="1" applyFill="1" applyBorder="1"/>
    <xf numFmtId="170" fontId="0" fillId="2" borderId="5" xfId="0" applyNumberFormat="1" applyFill="1" applyBorder="1"/>
    <xf numFmtId="171" fontId="0" fillId="2" borderId="5" xfId="0" applyNumberFormat="1" applyFill="1" applyBorder="1"/>
    <xf numFmtId="0" fontId="0" fillId="2" borderId="5" xfId="0" applyFill="1" applyBorder="1"/>
    <xf numFmtId="174" fontId="0" fillId="2" borderId="5" xfId="0" applyNumberFormat="1" applyFill="1" applyBorder="1"/>
    <xf numFmtId="167" fontId="0" fillId="2" borderId="4" xfId="0" applyNumberFormat="1" applyFill="1" applyBorder="1"/>
    <xf numFmtId="165" fontId="0" fillId="2" borderId="29" xfId="0" applyNumberFormat="1" applyFill="1" applyBorder="1"/>
    <xf numFmtId="169" fontId="0" fillId="2" borderId="28" xfId="0" applyNumberFormat="1" applyFill="1" applyBorder="1"/>
    <xf numFmtId="0" fontId="0" fillId="0" borderId="47" xfId="0" applyBorder="1" applyAlignment="1">
      <alignment horizontal="left" vertical="center" wrapText="1"/>
    </xf>
    <xf numFmtId="0" fontId="0" fillId="2" borderId="36" xfId="0" applyFill="1" applyBorder="1" applyAlignment="1">
      <alignment wrapText="1"/>
    </xf>
    <xf numFmtId="0" fontId="0" fillId="2" borderId="21" xfId="0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21" xfId="0" applyBorder="1"/>
    <xf numFmtId="164" fontId="0" fillId="2" borderId="7" xfId="0" applyNumberFormat="1" applyFill="1" applyBorder="1" applyAlignment="1">
      <alignment horizontal="right"/>
    </xf>
    <xf numFmtId="164" fontId="0" fillId="2" borderId="23" xfId="0" applyNumberFormat="1" applyFill="1" applyBorder="1" applyAlignment="1">
      <alignment horizontal="right"/>
    </xf>
    <xf numFmtId="164" fontId="0" fillId="2" borderId="24" xfId="0" applyNumberFormat="1" applyFill="1" applyBorder="1" applyAlignment="1">
      <alignment horizontal="right"/>
    </xf>
    <xf numFmtId="166" fontId="0" fillId="2" borderId="21" xfId="0" applyNumberFormat="1" applyFill="1" applyBorder="1" applyAlignment="1">
      <alignment horizontal="right"/>
    </xf>
    <xf numFmtId="174" fontId="0" fillId="2" borderId="7" xfId="0" applyNumberFormat="1" applyFill="1" applyBorder="1" applyAlignment="1">
      <alignment horizontal="right"/>
    </xf>
    <xf numFmtId="166" fontId="0" fillId="2" borderId="7" xfId="0" applyNumberFormat="1" applyFill="1" applyBorder="1" applyAlignment="1">
      <alignment horizontal="right"/>
    </xf>
    <xf numFmtId="166" fontId="0" fillId="2" borderId="20" xfId="0" applyNumberFormat="1" applyFill="1" applyBorder="1" applyAlignment="1">
      <alignment horizontal="right"/>
    </xf>
    <xf numFmtId="165" fontId="0" fillId="2" borderId="23" xfId="0" applyNumberFormat="1" applyFill="1" applyBorder="1" applyAlignment="1">
      <alignment horizontal="right"/>
    </xf>
    <xf numFmtId="165" fontId="0" fillId="2" borderId="7" xfId="0" applyNumberFormat="1" applyFill="1" applyBorder="1" applyAlignment="1">
      <alignment horizontal="right"/>
    </xf>
    <xf numFmtId="165" fontId="0" fillId="2" borderId="20" xfId="0" applyNumberFormat="1" applyFill="1" applyBorder="1" applyAlignment="1">
      <alignment horizontal="right"/>
    </xf>
    <xf numFmtId="167" fontId="0" fillId="2" borderId="11" xfId="0" applyNumberFormat="1" applyFill="1" applyBorder="1" applyAlignment="1">
      <alignment horizontal="right"/>
    </xf>
    <xf numFmtId="167" fontId="0" fillId="2" borderId="12" xfId="0" applyNumberFormat="1" applyFill="1" applyBorder="1" applyAlignment="1">
      <alignment horizontal="right"/>
    </xf>
    <xf numFmtId="169" fontId="0" fillId="2" borderId="27" xfId="0" applyNumberFormat="1" applyFill="1" applyBorder="1" applyAlignment="1">
      <alignment horizontal="right"/>
    </xf>
    <xf numFmtId="170" fontId="0" fillId="2" borderId="27" xfId="0" applyNumberFormat="1" applyFill="1" applyBorder="1" applyAlignment="1">
      <alignment horizontal="right"/>
    </xf>
    <xf numFmtId="170" fontId="0" fillId="2" borderId="25" xfId="0" applyNumberFormat="1" applyFill="1" applyBorder="1" applyAlignment="1">
      <alignment horizontal="right"/>
    </xf>
    <xf numFmtId="171" fontId="0" fillId="2" borderId="25" xfId="0" applyNumberFormat="1" applyFill="1" applyBorder="1" applyAlignment="1">
      <alignment horizontal="right"/>
    </xf>
    <xf numFmtId="171" fontId="0" fillId="2" borderId="40" xfId="0" applyNumberFormat="1" applyFill="1" applyBorder="1" applyAlignment="1">
      <alignment horizontal="right" wrapText="1"/>
    </xf>
    <xf numFmtId="0" fontId="0" fillId="2" borderId="27" xfId="0" applyFill="1" applyBorder="1" applyAlignment="1">
      <alignment horizontal="right" wrapText="1"/>
    </xf>
    <xf numFmtId="0" fontId="0" fillId="2" borderId="25" xfId="0" applyFill="1" applyBorder="1" applyAlignment="1">
      <alignment horizontal="right"/>
    </xf>
    <xf numFmtId="167" fontId="0" fillId="2" borderId="23" xfId="0" applyNumberFormat="1" applyFill="1" applyBorder="1" applyAlignment="1">
      <alignment horizontal="right"/>
    </xf>
    <xf numFmtId="167" fontId="0" fillId="2" borderId="7" xfId="0" applyNumberFormat="1" applyFill="1" applyBorder="1" applyAlignment="1">
      <alignment horizontal="right"/>
    </xf>
    <xf numFmtId="169" fontId="0" fillId="2" borderId="21" xfId="0" applyNumberFormat="1" applyFill="1" applyBorder="1" applyAlignment="1">
      <alignment horizontal="right"/>
    </xf>
    <xf numFmtId="170" fontId="0" fillId="2" borderId="21" xfId="0" applyNumberFormat="1" applyFill="1" applyBorder="1" applyAlignment="1">
      <alignment horizontal="right"/>
    </xf>
    <xf numFmtId="170" fontId="0" fillId="2" borderId="7" xfId="0" applyNumberFormat="1" applyFill="1" applyBorder="1" applyAlignment="1">
      <alignment horizontal="right"/>
    </xf>
    <xf numFmtId="171" fontId="0" fillId="2" borderId="7" xfId="0" applyNumberFormat="1" applyFill="1" applyBorder="1" applyAlignment="1">
      <alignment horizontal="right"/>
    </xf>
    <xf numFmtId="171" fontId="0" fillId="2" borderId="24" xfId="0" applyNumberFormat="1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164" fontId="0" fillId="2" borderId="30" xfId="0" applyNumberFormat="1" applyFill="1" applyBorder="1" applyAlignment="1">
      <alignment horizontal="right"/>
    </xf>
    <xf numFmtId="164" fontId="0" fillId="2" borderId="51" xfId="0" applyNumberFormat="1" applyFill="1" applyBorder="1" applyAlignment="1">
      <alignment horizontal="right"/>
    </xf>
    <xf numFmtId="165" fontId="0" fillId="2" borderId="30" xfId="0" applyNumberFormat="1" applyFill="1" applyBorder="1" applyAlignment="1">
      <alignment horizontal="right"/>
    </xf>
    <xf numFmtId="165" fontId="0" fillId="2" borderId="36" xfId="0" applyNumberFormat="1" applyFill="1" applyBorder="1" applyAlignment="1">
      <alignment horizontal="right"/>
    </xf>
    <xf numFmtId="164" fontId="0" fillId="2" borderId="21" xfId="0" applyNumberFormat="1" applyFill="1" applyBorder="1" applyAlignment="1">
      <alignment horizontal="right"/>
    </xf>
    <xf numFmtId="167" fontId="0" fillId="2" borderId="21" xfId="0" applyNumberFormat="1" applyFill="1" applyBorder="1" applyAlignment="1">
      <alignment horizontal="right"/>
    </xf>
    <xf numFmtId="0" fontId="0" fillId="2" borderId="26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0" borderId="38" xfId="0" applyNumberFormat="1" applyBorder="1"/>
    <xf numFmtId="1" fontId="0" fillId="0" borderId="41" xfId="0" applyNumberFormat="1" applyBorder="1"/>
    <xf numFmtId="1" fontId="0" fillId="23" borderId="4" xfId="0" applyNumberFormat="1" applyFill="1" applyBorder="1"/>
    <xf numFmtId="170" fontId="0" fillId="0" borderId="6" xfId="0" applyNumberFormat="1" applyBorder="1" applyAlignment="1">
      <alignment vertical="center" wrapText="1"/>
    </xf>
    <xf numFmtId="1" fontId="0" fillId="23" borderId="35" xfId="0" applyNumberFormat="1" applyFill="1" applyBorder="1"/>
    <xf numFmtId="164" fontId="0" fillId="0" borderId="52" xfId="0" applyNumberFormat="1" applyBorder="1" applyAlignment="1">
      <alignment horizontal="left" vertical="center" wrapText="1"/>
    </xf>
    <xf numFmtId="164" fontId="0" fillId="0" borderId="47" xfId="0" applyNumberFormat="1" applyBorder="1" applyAlignment="1">
      <alignment horizontal="left" vertical="center" wrapText="1"/>
    </xf>
    <xf numFmtId="164" fontId="0" fillId="0" borderId="53" xfId="0" applyNumberFormat="1" applyBorder="1" applyAlignment="1">
      <alignment horizontal="left" vertical="center" wrapText="1"/>
    </xf>
    <xf numFmtId="0" fontId="0" fillId="0" borderId="47" xfId="0" applyBorder="1" applyAlignment="1">
      <alignment vertical="center" wrapText="1"/>
    </xf>
    <xf numFmtId="0" fontId="1" fillId="2" borderId="34" xfId="0" applyFont="1" applyFill="1" applyBorder="1"/>
    <xf numFmtId="171" fontId="0" fillId="0" borderId="49" xfId="0" applyNumberFormat="1" applyBorder="1" applyAlignment="1">
      <alignment horizontal="left" vertical="center" wrapText="1"/>
    </xf>
    <xf numFmtId="0" fontId="1" fillId="2" borderId="28" xfId="0" applyFont="1" applyFill="1" applyBorder="1"/>
    <xf numFmtId="168" fontId="0" fillId="0" borderId="5" xfId="0" applyNumberFormat="1" applyBorder="1" applyAlignment="1">
      <alignment horizontal="left" vertical="center" wrapText="1"/>
    </xf>
    <xf numFmtId="164" fontId="0" fillId="0" borderId="6" xfId="0" applyNumberFormat="1" applyBorder="1"/>
    <xf numFmtId="1" fontId="0" fillId="0" borderId="20" xfId="0" applyNumberFormat="1" applyBorder="1"/>
    <xf numFmtId="1" fontId="0" fillId="0" borderId="42" xfId="0" applyNumberFormat="1" applyBorder="1"/>
    <xf numFmtId="164" fontId="0" fillId="0" borderId="54" xfId="0" applyNumberFormat="1" applyBorder="1"/>
    <xf numFmtId="0" fontId="0" fillId="0" borderId="14" xfId="0" applyBorder="1"/>
    <xf numFmtId="49" fontId="0" fillId="20" borderId="10" xfId="0" applyNumberFormat="1" applyFill="1" applyBorder="1" applyAlignment="1">
      <alignment horizontal="center" wrapText="1"/>
    </xf>
    <xf numFmtId="49" fontId="0" fillId="2" borderId="43" xfId="0" applyNumberFormat="1" applyFill="1" applyBorder="1" applyAlignment="1">
      <alignment wrapText="1"/>
    </xf>
    <xf numFmtId="49" fontId="0" fillId="2" borderId="22" xfId="0" applyNumberFormat="1" applyFill="1" applyBorder="1" applyAlignment="1">
      <alignment wrapText="1"/>
    </xf>
    <xf numFmtId="49" fontId="0" fillId="0" borderId="22" xfId="0" applyNumberFormat="1" applyBorder="1" applyAlignment="1">
      <alignment wrapText="1"/>
    </xf>
    <xf numFmtId="49" fontId="0" fillId="0" borderId="17" xfId="0" applyNumberFormat="1" applyBorder="1" applyAlignment="1">
      <alignment wrapText="1"/>
    </xf>
    <xf numFmtId="49" fontId="0" fillId="0" borderId="22" xfId="0" applyNumberFormat="1" applyBorder="1"/>
    <xf numFmtId="49" fontId="0" fillId="0" borderId="46" xfId="0" applyNumberFormat="1" applyBorder="1" applyAlignment="1">
      <alignment wrapText="1"/>
    </xf>
    <xf numFmtId="0" fontId="0" fillId="0" borderId="25" xfId="0" applyBorder="1" applyAlignment="1">
      <alignment vertical="center" wrapText="1"/>
    </xf>
    <xf numFmtId="0" fontId="0" fillId="2" borderId="25" xfId="0" applyFill="1" applyBorder="1"/>
    <xf numFmtId="173" fontId="0" fillId="0" borderId="25" xfId="0" applyNumberFormat="1" applyBorder="1" applyAlignment="1">
      <alignment vertical="center" wrapText="1"/>
    </xf>
    <xf numFmtId="0" fontId="4" fillId="20" borderId="4" xfId="0" applyFont="1" applyFill="1" applyBorder="1" applyAlignment="1">
      <alignment vertical="center" wrapText="1"/>
    </xf>
    <xf numFmtId="49" fontId="0" fillId="0" borderId="22" xfId="0" applyNumberFormat="1" applyBorder="1" applyAlignment="1">
      <alignment horizontal="left" wrapText="1"/>
    </xf>
    <xf numFmtId="164" fontId="0" fillId="0" borderId="23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164" fontId="0" fillId="0" borderId="24" xfId="0" applyNumberFormat="1" applyBorder="1" applyAlignment="1">
      <alignment wrapText="1"/>
    </xf>
    <xf numFmtId="166" fontId="0" fillId="0" borderId="23" xfId="0" applyNumberFormat="1" applyBorder="1" applyAlignment="1">
      <alignment wrapText="1"/>
    </xf>
    <xf numFmtId="166" fontId="0" fillId="0" borderId="7" xfId="0" applyNumberFormat="1" applyBorder="1" applyAlignment="1">
      <alignment wrapText="1"/>
    </xf>
    <xf numFmtId="166" fontId="0" fillId="0" borderId="24" xfId="0" applyNumberFormat="1" applyBorder="1" applyAlignment="1">
      <alignment wrapText="1"/>
    </xf>
    <xf numFmtId="165" fontId="0" fillId="0" borderId="7" xfId="0" applyNumberFormat="1" applyBorder="1" applyAlignment="1">
      <alignment wrapText="1"/>
    </xf>
    <xf numFmtId="167" fontId="0" fillId="0" borderId="23" xfId="0" applyNumberFormat="1" applyBorder="1" applyAlignment="1">
      <alignment wrapText="1"/>
    </xf>
    <xf numFmtId="167" fontId="0" fillId="0" borderId="21" xfId="0" applyNumberFormat="1" applyBorder="1" applyAlignment="1">
      <alignment wrapText="1"/>
    </xf>
    <xf numFmtId="167" fontId="0" fillId="0" borderId="7" xfId="0" applyNumberFormat="1" applyBorder="1" applyAlignment="1">
      <alignment wrapText="1"/>
    </xf>
    <xf numFmtId="0" fontId="0" fillId="0" borderId="24" xfId="0" applyBorder="1" applyAlignment="1">
      <alignment wrapText="1"/>
    </xf>
    <xf numFmtId="169" fontId="0" fillId="0" borderId="7" xfId="0" applyNumberFormat="1" applyBorder="1" applyAlignment="1">
      <alignment wrapText="1"/>
    </xf>
    <xf numFmtId="170" fontId="0" fillId="0" borderId="7" xfId="0" applyNumberFormat="1" applyBorder="1" applyAlignment="1">
      <alignment wrapText="1"/>
    </xf>
    <xf numFmtId="171" fontId="0" fillId="0" borderId="7" xfId="0" applyNumberFormat="1" applyBorder="1" applyAlignment="1">
      <alignment wrapText="1"/>
    </xf>
    <xf numFmtId="20" fontId="0" fillId="0" borderId="7" xfId="0" applyNumberFormat="1" applyBorder="1" applyAlignment="1">
      <alignment vertical="center" wrapText="1"/>
    </xf>
    <xf numFmtId="165" fontId="0" fillId="0" borderId="5" xfId="0" applyNumberFormat="1" applyBorder="1" applyAlignment="1">
      <alignment horizontal="left" vertical="center" wrapText="1"/>
    </xf>
    <xf numFmtId="167" fontId="0" fillId="0" borderId="6" xfId="0" applyNumberFormat="1" applyBorder="1" applyAlignment="1">
      <alignment vertical="center" wrapText="1"/>
    </xf>
    <xf numFmtId="164" fontId="0" fillId="0" borderId="5" xfId="0" applyNumberFormat="1" applyBorder="1" applyAlignment="1">
      <alignment horizontal="left" vertical="center" wrapText="1"/>
    </xf>
    <xf numFmtId="165" fontId="0" fillId="0" borderId="5" xfId="0" applyNumberForma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167" fontId="0" fillId="0" borderId="11" xfId="0" applyNumberFormat="1" applyBorder="1"/>
    <xf numFmtId="167" fontId="0" fillId="0" borderId="12" xfId="0" applyNumberFormat="1" applyBorder="1"/>
    <xf numFmtId="0" fontId="0" fillId="0" borderId="15" xfId="0" applyBorder="1"/>
    <xf numFmtId="0" fontId="0" fillId="22" borderId="20" xfId="0" applyFill="1" applyBorder="1" applyAlignment="1">
      <alignment horizontal="center" wrapText="1"/>
    </xf>
    <xf numFmtId="0" fontId="0" fillId="17" borderId="20" xfId="0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64" fontId="0" fillId="0" borderId="55" xfId="0" applyNumberFormat="1" applyBorder="1"/>
    <xf numFmtId="164" fontId="0" fillId="0" borderId="37" xfId="0" applyNumberFormat="1" applyBorder="1"/>
    <xf numFmtId="164" fontId="0" fillId="0" borderId="42" xfId="0" applyNumberFormat="1" applyBorder="1"/>
    <xf numFmtId="164" fontId="0" fillId="0" borderId="56" xfId="0" applyNumberFormat="1" applyBorder="1"/>
    <xf numFmtId="166" fontId="0" fillId="0" borderId="55" xfId="0" applyNumberFormat="1" applyBorder="1"/>
    <xf numFmtId="166" fontId="0" fillId="0" borderId="37" xfId="0" applyNumberFormat="1" applyBorder="1"/>
    <xf numFmtId="166" fontId="0" fillId="0" borderId="56" xfId="0" applyNumberFormat="1" applyBorder="1"/>
    <xf numFmtId="165" fontId="0" fillId="0" borderId="37" xfId="0" applyNumberFormat="1" applyBorder="1"/>
    <xf numFmtId="167" fontId="0" fillId="0" borderId="55" xfId="0" applyNumberFormat="1" applyBorder="1"/>
    <xf numFmtId="167" fontId="0" fillId="0" borderId="41" xfId="0" applyNumberFormat="1" applyBorder="1"/>
    <xf numFmtId="167" fontId="0" fillId="0" borderId="37" xfId="0" applyNumberFormat="1" applyBorder="1"/>
    <xf numFmtId="0" fontId="0" fillId="0" borderId="56" xfId="0" applyBorder="1"/>
    <xf numFmtId="169" fontId="0" fillId="0" borderId="37" xfId="0" applyNumberFormat="1" applyBorder="1"/>
    <xf numFmtId="170" fontId="0" fillId="0" borderId="37" xfId="0" applyNumberFormat="1" applyBorder="1"/>
    <xf numFmtId="171" fontId="0" fillId="0" borderId="37" xfId="0" applyNumberFormat="1" applyBorder="1"/>
    <xf numFmtId="49" fontId="0" fillId="0" borderId="57" xfId="0" applyNumberFormat="1" applyBorder="1" applyAlignment="1">
      <alignment wrapText="1"/>
    </xf>
    <xf numFmtId="0" fontId="0" fillId="0" borderId="37" xfId="0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58" xfId="0" applyNumberFormat="1" applyBorder="1"/>
    <xf numFmtId="164" fontId="0" fillId="0" borderId="15" xfId="0" applyNumberFormat="1" applyBorder="1"/>
    <xf numFmtId="166" fontId="0" fillId="0" borderId="11" xfId="0" applyNumberFormat="1" applyBorder="1"/>
    <xf numFmtId="166" fontId="0" fillId="0" borderId="12" xfId="0" applyNumberFormat="1" applyBorder="1"/>
    <xf numFmtId="166" fontId="0" fillId="0" borderId="15" xfId="0" applyNumberFormat="1" applyBorder="1"/>
    <xf numFmtId="165" fontId="0" fillId="0" borderId="12" xfId="0" applyNumberFormat="1" applyBorder="1"/>
    <xf numFmtId="167" fontId="0" fillId="0" borderId="59" xfId="0" applyNumberFormat="1" applyBorder="1"/>
    <xf numFmtId="169" fontId="0" fillId="2" borderId="12" xfId="0" applyNumberFormat="1" applyFill="1" applyBorder="1"/>
    <xf numFmtId="170" fontId="0" fillId="2" borderId="12" xfId="0" applyNumberFormat="1" applyFill="1" applyBorder="1"/>
    <xf numFmtId="171" fontId="0" fillId="2" borderId="12" xfId="0" applyNumberFormat="1" applyFill="1" applyBorder="1"/>
    <xf numFmtId="49" fontId="0" fillId="2" borderId="60" xfId="0" applyNumberFormat="1" applyFill="1" applyBorder="1" applyAlignment="1">
      <alignment wrapText="1"/>
    </xf>
    <xf numFmtId="0" fontId="0" fillId="0" borderId="12" xfId="0" applyBorder="1"/>
    <xf numFmtId="0" fontId="0" fillId="0" borderId="4" xfId="0" applyBorder="1" applyAlignment="1">
      <alignment horizontal="left" vertical="center" wrapText="1"/>
    </xf>
    <xf numFmtId="169" fontId="0" fillId="0" borderId="28" xfId="0" applyNumberFormat="1" applyBorder="1" applyAlignment="1">
      <alignment vertical="center" wrapText="1"/>
    </xf>
    <xf numFmtId="167" fontId="0" fillId="0" borderId="4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73" fontId="0" fillId="0" borderId="7" xfId="0" applyNumberFormat="1" applyBorder="1" applyAlignment="1">
      <alignment vertical="center"/>
    </xf>
    <xf numFmtId="168" fontId="0" fillId="0" borderId="7" xfId="0" applyNumberFormat="1" applyBorder="1" applyAlignment="1">
      <alignment vertical="center"/>
    </xf>
    <xf numFmtId="0" fontId="0" fillId="2" borderId="37" xfId="0" applyFill="1" applyBorder="1" applyAlignment="1">
      <alignment vertical="center" wrapText="1"/>
    </xf>
    <xf numFmtId="0" fontId="0" fillId="2" borderId="37" xfId="0" applyFill="1" applyBorder="1" applyAlignment="1">
      <alignment vertical="center"/>
    </xf>
    <xf numFmtId="0" fontId="0" fillId="2" borderId="61" xfId="0" applyFill="1" applyBorder="1" applyAlignment="1">
      <alignment wrapText="1"/>
    </xf>
    <xf numFmtId="164" fontId="0" fillId="0" borderId="59" xfId="0" applyNumberFormat="1" applyBorder="1"/>
    <xf numFmtId="0" fontId="0" fillId="0" borderId="2" xfId="0" applyBorder="1"/>
    <xf numFmtId="0" fontId="0" fillId="0" borderId="62" xfId="0" applyBorder="1"/>
    <xf numFmtId="49" fontId="1" fillId="9" borderId="10" xfId="0" applyNumberFormat="1" applyFont="1" applyFill="1" applyBorder="1" applyAlignment="1">
      <alignment horizontal="center" vertical="center" wrapText="1"/>
    </xf>
    <xf numFmtId="172" fontId="1" fillId="27" borderId="50" xfId="0" applyNumberFormat="1" applyFont="1" applyFill="1" applyBorder="1" applyAlignment="1">
      <alignment horizontal="center" vertical="center" wrapText="1"/>
    </xf>
    <xf numFmtId="172" fontId="2" fillId="17" borderId="36" xfId="0" applyNumberFormat="1" applyFont="1" applyFill="1" applyBorder="1" applyAlignment="1">
      <alignment horizontal="center"/>
    </xf>
    <xf numFmtId="172" fontId="2" fillId="16" borderId="36" xfId="0" applyNumberFormat="1" applyFont="1" applyFill="1" applyBorder="1" applyAlignment="1">
      <alignment horizontal="center"/>
    </xf>
    <xf numFmtId="172" fontId="0" fillId="14" borderId="36" xfId="0" applyNumberFormat="1" applyFill="1" applyBorder="1" applyAlignment="1">
      <alignment horizontal="center" vertical="center" wrapText="1"/>
    </xf>
    <xf numFmtId="172" fontId="0" fillId="10" borderId="36" xfId="0" applyNumberFormat="1" applyFill="1" applyBorder="1" applyAlignment="1">
      <alignment horizontal="center" vertical="center" wrapText="1"/>
    </xf>
    <xf numFmtId="14" fontId="0" fillId="0" borderId="38" xfId="0" applyNumberFormat="1" applyBorder="1" applyAlignment="1">
      <alignment vertical="center" wrapText="1"/>
    </xf>
    <xf numFmtId="20" fontId="0" fillId="0" borderId="38" xfId="0" applyNumberFormat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172" fontId="0" fillId="0" borderId="25" xfId="0" applyNumberFormat="1" applyBorder="1" applyAlignment="1">
      <alignment vertical="center" wrapText="1"/>
    </xf>
    <xf numFmtId="172" fontId="0" fillId="0" borderId="38" xfId="0" applyNumberFormat="1" applyBorder="1" applyAlignment="1">
      <alignment vertical="center" wrapText="1"/>
    </xf>
    <xf numFmtId="167" fontId="0" fillId="0" borderId="38" xfId="0" applyNumberFormat="1" applyBorder="1" applyAlignment="1">
      <alignment vertical="center" wrapText="1"/>
    </xf>
    <xf numFmtId="169" fontId="0" fillId="0" borderId="38" xfId="0" applyNumberFormat="1" applyBorder="1" applyAlignment="1">
      <alignment vertical="center" wrapText="1"/>
    </xf>
    <xf numFmtId="170" fontId="0" fillId="0" borderId="38" xfId="0" applyNumberFormat="1" applyBorder="1" applyAlignment="1">
      <alignment vertical="center" wrapText="1"/>
    </xf>
    <xf numFmtId="171" fontId="0" fillId="0" borderId="38" xfId="0" applyNumberFormat="1" applyBorder="1" applyAlignment="1">
      <alignment vertical="center" wrapText="1"/>
    </xf>
    <xf numFmtId="173" fontId="0" fillId="0" borderId="38" xfId="0" applyNumberFormat="1" applyBorder="1" applyAlignment="1">
      <alignment vertical="center" wrapText="1"/>
    </xf>
    <xf numFmtId="168" fontId="0" fillId="0" borderId="38" xfId="0" applyNumberFormat="1" applyBorder="1" applyAlignment="1">
      <alignment vertical="center" wrapText="1"/>
    </xf>
    <xf numFmtId="0" fontId="0" fillId="13" borderId="20" xfId="0" applyFill="1" applyBorder="1" applyAlignment="1">
      <alignment horizontal="center" vertical="center" wrapText="1"/>
    </xf>
    <xf numFmtId="0" fontId="0" fillId="0" borderId="41" xfId="0" applyBorder="1"/>
    <xf numFmtId="0" fontId="0" fillId="20" borderId="5" xfId="0" applyFill="1" applyBorder="1"/>
    <xf numFmtId="0" fontId="2" fillId="2" borderId="7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2" fillId="12" borderId="20" xfId="0" applyFont="1" applyFill="1" applyBorder="1" applyAlignment="1">
      <alignment horizontal="center"/>
    </xf>
    <xf numFmtId="0" fontId="0" fillId="0" borderId="38" xfId="0" applyBorder="1"/>
    <xf numFmtId="0" fontId="0" fillId="2" borderId="63" xfId="0" applyFill="1" applyBorder="1" applyAlignment="1">
      <alignment wrapText="1"/>
    </xf>
    <xf numFmtId="166" fontId="0" fillId="0" borderId="52" xfId="0" applyNumberFormat="1" applyBorder="1"/>
    <xf numFmtId="0" fontId="0" fillId="20" borderId="8" xfId="0" applyFill="1" applyBorder="1"/>
    <xf numFmtId="164" fontId="0" fillId="0" borderId="27" xfId="0" applyNumberFormat="1" applyBorder="1"/>
    <xf numFmtId="164" fontId="0" fillId="0" borderId="21" xfId="0" applyNumberFormat="1" applyBorder="1" applyAlignment="1">
      <alignment wrapText="1"/>
    </xf>
    <xf numFmtId="164" fontId="0" fillId="0" borderId="41" xfId="0" applyNumberFormat="1" applyBorder="1"/>
    <xf numFmtId="0" fontId="4" fillId="0" borderId="10" xfId="0" applyFont="1" applyBorder="1"/>
    <xf numFmtId="14" fontId="0" fillId="0" borderId="43" xfId="0" applyNumberFormat="1" applyBorder="1"/>
    <xf numFmtId="14" fontId="0" fillId="0" borderId="22" xfId="0" applyNumberFormat="1" applyBorder="1"/>
    <xf numFmtId="14" fontId="0" fillId="0" borderId="17" xfId="0" applyNumberFormat="1" applyBorder="1"/>
    <xf numFmtId="0" fontId="0" fillId="0" borderId="46" xfId="0" applyBorder="1"/>
    <xf numFmtId="0" fontId="0" fillId="20" borderId="64" xfId="0" applyFill="1" applyBorder="1"/>
    <xf numFmtId="164" fontId="0" fillId="0" borderId="20" xfId="0" applyNumberFormat="1" applyBorder="1" applyAlignment="1">
      <alignment wrapText="1"/>
    </xf>
    <xf numFmtId="165" fontId="0" fillId="0" borderId="27" xfId="0" applyNumberFormat="1" applyBorder="1"/>
    <xf numFmtId="165" fontId="0" fillId="0" borderId="21" xfId="0" applyNumberFormat="1" applyBorder="1"/>
    <xf numFmtId="165" fontId="0" fillId="0" borderId="21" xfId="0" applyNumberFormat="1" applyBorder="1" applyAlignment="1">
      <alignment wrapText="1"/>
    </xf>
    <xf numFmtId="165" fontId="0" fillId="0" borderId="41" xfId="0" applyNumberFormat="1" applyBorder="1"/>
    <xf numFmtId="165" fontId="0" fillId="0" borderId="59" xfId="0" applyNumberFormat="1" applyBorder="1"/>
    <xf numFmtId="165" fontId="0" fillId="0" borderId="32" xfId="0" applyNumberFormat="1" applyBorder="1"/>
    <xf numFmtId="165" fontId="0" fillId="0" borderId="26" xfId="0" applyNumberFormat="1" applyBorder="1"/>
    <xf numFmtId="165" fontId="0" fillId="0" borderId="20" xfId="0" applyNumberFormat="1" applyBorder="1"/>
    <xf numFmtId="165" fontId="0" fillId="0" borderId="20" xfId="0" applyNumberFormat="1" applyBorder="1" applyAlignment="1">
      <alignment wrapText="1"/>
    </xf>
    <xf numFmtId="165" fontId="0" fillId="0" borderId="42" xfId="0" applyNumberFormat="1" applyBorder="1"/>
    <xf numFmtId="165" fontId="0" fillId="0" borderId="58" xfId="0" applyNumberFormat="1" applyBorder="1"/>
    <xf numFmtId="165" fontId="0" fillId="0" borderId="36" xfId="0" applyNumberFormat="1" applyBorder="1"/>
    <xf numFmtId="165" fontId="0" fillId="0" borderId="54" xfId="0" applyNumberFormat="1" applyBorder="1"/>
    <xf numFmtId="165" fontId="0" fillId="0" borderId="53" xfId="0" applyNumberFormat="1" applyBorder="1"/>
    <xf numFmtId="0" fontId="0" fillId="2" borderId="27" xfId="0" applyFill="1" applyBorder="1" applyAlignment="1">
      <alignment wrapText="1"/>
    </xf>
    <xf numFmtId="0" fontId="0" fillId="0" borderId="41" xfId="0" applyBorder="1" applyAlignment="1">
      <alignment wrapText="1"/>
    </xf>
    <xf numFmtId="0" fontId="0" fillId="20" borderId="64" xfId="0" applyFill="1" applyBorder="1" applyAlignment="1">
      <alignment wrapText="1"/>
    </xf>
    <xf numFmtId="171" fontId="0" fillId="2" borderId="26" xfId="0" applyNumberFormat="1" applyFill="1" applyBorder="1"/>
    <xf numFmtId="171" fontId="0" fillId="2" borderId="20" xfId="0" applyNumberFormat="1" applyFill="1" applyBorder="1"/>
    <xf numFmtId="171" fontId="0" fillId="0" borderId="20" xfId="0" applyNumberFormat="1" applyBorder="1" applyAlignment="1">
      <alignment wrapText="1"/>
    </xf>
    <xf numFmtId="171" fontId="0" fillId="0" borderId="20" xfId="0" applyNumberFormat="1" applyBorder="1"/>
    <xf numFmtId="171" fontId="0" fillId="0" borderId="42" xfId="0" applyNumberFormat="1" applyBorder="1"/>
    <xf numFmtId="171" fontId="0" fillId="2" borderId="58" xfId="0" applyNumberFormat="1" applyFill="1" applyBorder="1"/>
    <xf numFmtId="171" fontId="0" fillId="0" borderId="54" xfId="0" applyNumberFormat="1" applyBorder="1"/>
    <xf numFmtId="0" fontId="0" fillId="0" borderId="8" xfId="0" applyBorder="1"/>
    <xf numFmtId="0" fontId="0" fillId="0" borderId="27" xfId="0" applyBorder="1"/>
    <xf numFmtId="0" fontId="0" fillId="0" borderId="59" xfId="0" applyBorder="1"/>
    <xf numFmtId="49" fontId="0" fillId="2" borderId="21" xfId="0" applyNumberFormat="1" applyFill="1" applyBorder="1" applyAlignment="1">
      <alignment wrapText="1"/>
    </xf>
    <xf numFmtId="0" fontId="0" fillId="0" borderId="32" xfId="0" applyBorder="1"/>
    <xf numFmtId="172" fontId="0" fillId="0" borderId="12" xfId="0" applyNumberFormat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1" fillId="7" borderId="33" xfId="0" applyFont="1" applyFill="1" applyBorder="1" applyAlignment="1">
      <alignment horizontal="center"/>
    </xf>
    <xf numFmtId="0" fontId="1" fillId="7" borderId="34" xfId="0" applyFont="1" applyFill="1" applyBorder="1" applyAlignment="1">
      <alignment horizontal="center"/>
    </xf>
    <xf numFmtId="0" fontId="1" fillId="7" borderId="35" xfId="0" applyFont="1" applyFill="1" applyBorder="1" applyAlignment="1">
      <alignment horizontal="center"/>
    </xf>
    <xf numFmtId="0" fontId="1" fillId="8" borderId="33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0" fillId="11" borderId="20" xfId="0" applyFill="1" applyBorder="1" applyAlignment="1">
      <alignment horizontal="center" vertical="center" wrapText="1"/>
    </xf>
    <xf numFmtId="0" fontId="0" fillId="11" borderId="21" xfId="0" applyFill="1" applyBorder="1" applyAlignment="1">
      <alignment horizontal="center" vertical="center" wrapText="1"/>
    </xf>
    <xf numFmtId="0" fontId="0" fillId="12" borderId="20" xfId="0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10" borderId="20" xfId="0" applyFill="1" applyBorder="1" applyAlignment="1">
      <alignment horizontal="center" vertical="center" wrapText="1"/>
    </xf>
    <xf numFmtId="0" fontId="0" fillId="10" borderId="21" xfId="0" applyFill="1" applyBorder="1" applyAlignment="1">
      <alignment horizontal="center" vertical="center" wrapText="1"/>
    </xf>
    <xf numFmtId="0" fontId="0" fillId="15" borderId="20" xfId="0" applyFill="1" applyBorder="1" applyAlignment="1">
      <alignment horizontal="center" vertical="center" wrapText="1"/>
    </xf>
    <xf numFmtId="0" fontId="0" fillId="15" borderId="21" xfId="0" applyFill="1" applyBorder="1" applyAlignment="1">
      <alignment horizontal="center" vertical="center" wrapText="1"/>
    </xf>
    <xf numFmtId="0" fontId="0" fillId="19" borderId="20" xfId="0" applyFill="1" applyBorder="1" applyAlignment="1">
      <alignment horizontal="center" vertical="center" wrapText="1"/>
    </xf>
    <xf numFmtId="0" fontId="0" fillId="19" borderId="21" xfId="0" applyFill="1" applyBorder="1" applyAlignment="1">
      <alignment horizontal="center" vertical="center" wrapText="1"/>
    </xf>
    <xf numFmtId="0" fontId="0" fillId="30" borderId="20" xfId="0" applyFill="1" applyBorder="1" applyAlignment="1">
      <alignment horizontal="center" vertical="center" wrapText="1"/>
    </xf>
    <xf numFmtId="0" fontId="0" fillId="30" borderId="21" xfId="0" applyFill="1" applyBorder="1" applyAlignment="1">
      <alignment horizontal="center" vertical="center" wrapText="1"/>
    </xf>
    <xf numFmtId="0" fontId="0" fillId="31" borderId="20" xfId="0" applyFill="1" applyBorder="1" applyAlignment="1">
      <alignment horizontal="center" vertical="center" wrapText="1"/>
    </xf>
    <xf numFmtId="0" fontId="0" fillId="31" borderId="21" xfId="0" applyFill="1" applyBorder="1" applyAlignment="1">
      <alignment horizontal="center" vertical="center" wrapText="1"/>
    </xf>
    <xf numFmtId="0" fontId="0" fillId="14" borderId="20" xfId="0" applyFill="1" applyBorder="1" applyAlignment="1">
      <alignment horizontal="center" vertical="center" wrapText="1"/>
    </xf>
    <xf numFmtId="0" fontId="0" fillId="14" borderId="21" xfId="0" applyFill="1" applyBorder="1" applyAlignment="1">
      <alignment horizontal="center" vertical="center" wrapText="1"/>
    </xf>
    <xf numFmtId="0" fontId="0" fillId="13" borderId="20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0" fillId="18" borderId="20" xfId="0" applyFill="1" applyBorder="1" applyAlignment="1">
      <alignment horizontal="center" vertical="center" wrapText="1"/>
    </xf>
    <xf numFmtId="0" fontId="0" fillId="18" borderId="21" xfId="0" applyFill="1" applyBorder="1" applyAlignment="1">
      <alignment horizontal="center" vertical="center" wrapText="1"/>
    </xf>
    <xf numFmtId="0" fontId="2" fillId="11" borderId="20" xfId="0" applyFont="1" applyFill="1" applyBorder="1" applyAlignment="1">
      <alignment horizontal="center"/>
    </xf>
    <xf numFmtId="0" fontId="2" fillId="11" borderId="21" xfId="0" applyFont="1" applyFill="1" applyBorder="1" applyAlignment="1">
      <alignment horizontal="center"/>
    </xf>
    <xf numFmtId="0" fontId="2" fillId="12" borderId="20" xfId="0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2" fillId="16" borderId="20" xfId="0" applyFont="1" applyFill="1" applyBorder="1" applyAlignment="1">
      <alignment horizontal="center"/>
    </xf>
    <xf numFmtId="0" fontId="2" fillId="16" borderId="21" xfId="0" applyFont="1" applyFill="1" applyBorder="1" applyAlignment="1">
      <alignment horizontal="center"/>
    </xf>
    <xf numFmtId="0" fontId="2" fillId="17" borderId="20" xfId="0" applyFont="1" applyFill="1" applyBorder="1" applyAlignment="1">
      <alignment horizontal="center"/>
    </xf>
    <xf numFmtId="0" fontId="2" fillId="17" borderId="21" xfId="0" applyFont="1" applyFill="1" applyBorder="1" applyAlignment="1">
      <alignment horizontal="center"/>
    </xf>
    <xf numFmtId="0" fontId="2" fillId="14" borderId="20" xfId="0" applyFont="1" applyFill="1" applyBorder="1" applyAlignment="1">
      <alignment horizontal="center"/>
    </xf>
    <xf numFmtId="0" fontId="2" fillId="14" borderId="21" xfId="0" applyFont="1" applyFill="1" applyBorder="1" applyAlignment="1">
      <alignment horizontal="center"/>
    </xf>
    <xf numFmtId="0" fontId="2" fillId="13" borderId="20" xfId="0" applyFont="1" applyFill="1" applyBorder="1" applyAlignment="1">
      <alignment horizontal="center"/>
    </xf>
    <xf numFmtId="0" fontId="2" fillId="13" borderId="21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2" fillId="15" borderId="20" xfId="0" applyFont="1" applyFill="1" applyBorder="1" applyAlignment="1">
      <alignment horizontal="center"/>
    </xf>
    <xf numFmtId="0" fontId="2" fillId="15" borderId="21" xfId="0" applyFont="1" applyFill="1" applyBorder="1" applyAlignment="1">
      <alignment horizontal="center"/>
    </xf>
    <xf numFmtId="0" fontId="2" fillId="21" borderId="20" xfId="0" applyFont="1" applyFill="1" applyBorder="1" applyAlignment="1">
      <alignment horizontal="center"/>
    </xf>
    <xf numFmtId="0" fontId="2" fillId="21" borderId="21" xfId="0" applyFont="1" applyFill="1" applyBorder="1" applyAlignment="1">
      <alignment horizontal="center"/>
    </xf>
    <xf numFmtId="0" fontId="1" fillId="26" borderId="31" xfId="0" applyFont="1" applyFill="1" applyBorder="1" applyAlignment="1">
      <alignment horizontal="center" vertical="center" wrapText="1"/>
    </xf>
    <xf numFmtId="0" fontId="0" fillId="26" borderId="2" xfId="0" applyFill="1" applyBorder="1" applyAlignment="1">
      <alignment vertical="center" wrapText="1"/>
    </xf>
    <xf numFmtId="0" fontId="0" fillId="26" borderId="3" xfId="0" applyFill="1" applyBorder="1" applyAlignment="1">
      <alignment vertical="center" wrapText="1"/>
    </xf>
    <xf numFmtId="0" fontId="1" fillId="28" borderId="31" xfId="0" applyFont="1" applyFill="1" applyBorder="1" applyAlignment="1">
      <alignment horizontal="center" vertical="center" wrapText="1"/>
    </xf>
    <xf numFmtId="0" fontId="0" fillId="28" borderId="2" xfId="0" applyFill="1" applyBorder="1" applyAlignment="1">
      <alignment vertical="center" wrapText="1"/>
    </xf>
    <xf numFmtId="0" fontId="2" fillId="17" borderId="36" xfId="0" applyFont="1" applyFill="1" applyBorder="1" applyAlignment="1">
      <alignment horizontal="center"/>
    </xf>
    <xf numFmtId="0" fontId="2" fillId="14" borderId="36" xfId="0" applyFont="1" applyFill="1" applyBorder="1" applyAlignment="1">
      <alignment horizontal="center"/>
    </xf>
    <xf numFmtId="0" fontId="1" fillId="29" borderId="10" xfId="0" applyFont="1" applyFill="1" applyBorder="1" applyAlignment="1">
      <alignment horizontal="center" vertical="center" wrapText="1"/>
    </xf>
    <xf numFmtId="0" fontId="1" fillId="29" borderId="50" xfId="0" applyFont="1" applyFill="1" applyBorder="1" applyAlignment="1">
      <alignment horizontal="center" vertical="center" wrapText="1"/>
    </xf>
    <xf numFmtId="0" fontId="2" fillId="17" borderId="20" xfId="0" applyFont="1" applyFill="1" applyBorder="1" applyAlignment="1">
      <alignment horizontal="center" wrapText="1"/>
    </xf>
    <xf numFmtId="0" fontId="2" fillId="17" borderId="36" xfId="0" applyFont="1" applyFill="1" applyBorder="1" applyAlignment="1">
      <alignment horizontal="center" wrapText="1"/>
    </xf>
    <xf numFmtId="0" fontId="2" fillId="17" borderId="21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50" xfId="0" applyBorder="1" applyAlignment="1">
      <alignment vertical="center" wrapText="1"/>
    </xf>
    <xf numFmtId="0" fontId="1" fillId="27" borderId="33" xfId="0" applyFont="1" applyFill="1" applyBorder="1" applyAlignment="1">
      <alignment horizontal="center" vertical="center" wrapText="1"/>
    </xf>
    <xf numFmtId="0" fontId="1" fillId="27" borderId="34" xfId="0" applyFont="1" applyFill="1" applyBorder="1" applyAlignment="1">
      <alignment horizontal="center" vertical="center" wrapText="1"/>
    </xf>
    <xf numFmtId="0" fontId="1" fillId="27" borderId="35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1" fillId="7" borderId="3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165" fontId="1" fillId="8" borderId="33" xfId="0" applyNumberFormat="1" applyFont="1" applyFill="1" applyBorder="1" applyAlignment="1">
      <alignment horizontal="center"/>
    </xf>
    <xf numFmtId="165" fontId="1" fillId="8" borderId="34" xfId="0" applyNumberFormat="1" applyFont="1" applyFill="1" applyBorder="1" applyAlignment="1">
      <alignment horizontal="center"/>
    </xf>
    <xf numFmtId="165" fontId="1" fillId="8" borderId="35" xfId="0" applyNumberFormat="1" applyFont="1" applyFill="1" applyBorder="1" applyAlignment="1">
      <alignment horizontal="center"/>
    </xf>
    <xf numFmtId="164" fontId="1" fillId="5" borderId="33" xfId="0" applyNumberFormat="1" applyFont="1" applyFill="1" applyBorder="1" applyAlignment="1">
      <alignment horizontal="center"/>
    </xf>
    <xf numFmtId="164" fontId="1" fillId="5" borderId="34" xfId="0" applyNumberFormat="1" applyFont="1" applyFill="1" applyBorder="1" applyAlignment="1">
      <alignment horizontal="center"/>
    </xf>
    <xf numFmtId="164" fontId="1" fillId="5" borderId="35" xfId="0" applyNumberFormat="1" applyFont="1" applyFill="1" applyBorder="1" applyAlignment="1">
      <alignment horizontal="center"/>
    </xf>
    <xf numFmtId="164" fontId="1" fillId="4" borderId="33" xfId="0" applyNumberFormat="1" applyFont="1" applyFill="1" applyBorder="1" applyAlignment="1">
      <alignment horizontal="center" vertical="center"/>
    </xf>
    <xf numFmtId="164" fontId="1" fillId="4" borderId="34" xfId="0" applyNumberFormat="1" applyFont="1" applyFill="1" applyBorder="1" applyAlignment="1">
      <alignment horizontal="center" vertical="center"/>
    </xf>
    <xf numFmtId="164" fontId="1" fillId="4" borderId="35" xfId="0" applyNumberFormat="1" applyFont="1" applyFill="1" applyBorder="1" applyAlignment="1">
      <alignment horizontal="center" vertical="center"/>
    </xf>
    <xf numFmtId="166" fontId="1" fillId="7" borderId="33" xfId="0" applyNumberFormat="1" applyFont="1" applyFill="1" applyBorder="1" applyAlignment="1">
      <alignment horizontal="center"/>
    </xf>
    <xf numFmtId="166" fontId="1" fillId="7" borderId="34" xfId="0" applyNumberFormat="1" applyFont="1" applyFill="1" applyBorder="1" applyAlignment="1">
      <alignment horizontal="center"/>
    </xf>
    <xf numFmtId="166" fontId="1" fillId="7" borderId="35" xfId="0" applyNumberFormat="1" applyFont="1" applyFill="1" applyBorder="1" applyAlignment="1">
      <alignment horizontal="center"/>
    </xf>
    <xf numFmtId="165" fontId="1" fillId="25" borderId="2" xfId="0" applyNumberFormat="1" applyFont="1" applyFill="1" applyBorder="1" applyAlignment="1">
      <alignment horizontal="center"/>
    </xf>
    <xf numFmtId="165" fontId="1" fillId="25" borderId="3" xfId="0" applyNumberFormat="1" applyFont="1" applyFill="1" applyBorder="1" applyAlignment="1">
      <alignment horizontal="center"/>
    </xf>
    <xf numFmtId="167" fontId="1" fillId="32" borderId="33" xfId="0" applyNumberFormat="1" applyFont="1" applyFill="1" applyBorder="1" applyAlignment="1">
      <alignment horizontal="center"/>
    </xf>
    <xf numFmtId="167" fontId="1" fillId="32" borderId="34" xfId="0" applyNumberFormat="1" applyFont="1" applyFill="1" applyBorder="1" applyAlignment="1">
      <alignment horizontal="center"/>
    </xf>
    <xf numFmtId="167" fontId="1" fillId="32" borderId="35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164" fontId="1" fillId="13" borderId="33" xfId="0" applyNumberFormat="1" applyFont="1" applyFill="1" applyBorder="1" applyAlignment="1">
      <alignment horizontal="center"/>
    </xf>
    <xf numFmtId="164" fontId="1" fillId="13" borderId="34" xfId="0" applyNumberFormat="1" applyFont="1" applyFill="1" applyBorder="1" applyAlignment="1">
      <alignment horizontal="center"/>
    </xf>
    <xf numFmtId="164" fontId="1" fillId="13" borderId="35" xfId="0" applyNumberFormat="1" applyFont="1" applyFill="1" applyBorder="1" applyAlignment="1">
      <alignment horizontal="center"/>
    </xf>
    <xf numFmtId="164" fontId="1" fillId="11" borderId="33" xfId="0" applyNumberFormat="1" applyFont="1" applyFill="1" applyBorder="1" applyAlignment="1">
      <alignment horizontal="center" vertical="center"/>
    </xf>
    <xf numFmtId="164" fontId="1" fillId="11" borderId="34" xfId="0" applyNumberFormat="1" applyFont="1" applyFill="1" applyBorder="1" applyAlignment="1">
      <alignment horizontal="center" vertical="center"/>
    </xf>
    <xf numFmtId="164" fontId="1" fillId="11" borderId="35" xfId="0" applyNumberFormat="1" applyFont="1" applyFill="1" applyBorder="1" applyAlignment="1">
      <alignment horizontal="center" vertical="center"/>
    </xf>
    <xf numFmtId="167" fontId="1" fillId="24" borderId="33" xfId="0" applyNumberFormat="1" applyFont="1" applyFill="1" applyBorder="1" applyAlignment="1">
      <alignment horizontal="center"/>
    </xf>
    <xf numFmtId="167" fontId="1" fillId="24" borderId="34" xfId="0" applyNumberFormat="1" applyFont="1" applyFill="1" applyBorder="1" applyAlignment="1">
      <alignment horizontal="center"/>
    </xf>
    <xf numFmtId="167" fontId="1" fillId="24" borderId="35" xfId="0" applyNumberFormat="1" applyFont="1" applyFill="1" applyBorder="1" applyAlignment="1">
      <alignment horizontal="center"/>
    </xf>
  </cellXfs>
  <cellStyles count="43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/>
    <cellStyle name="Normálna 2" xfId="42" xr:uid="{F63A1240-5C19-4EB5-8953-F2397F6BA949}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182"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numFmt numFmtId="175" formatCode="&quot; &quot;"/>
    </dxf>
    <dxf>
      <numFmt numFmtId="175" formatCode="&quot; &quot;"/>
      <fill>
        <patternFill>
          <bgColor theme="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CFF66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00B0F0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rgb="FFD60093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80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669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800000"/>
        </patternFill>
      </fill>
    </dxf>
    <dxf>
      <fill>
        <patternFill>
          <bgColor rgb="FFD60093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206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00206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CFF66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FF66"/>
        </patternFill>
      </fill>
    </dxf>
    <dxf>
      <fill>
        <patternFill>
          <bgColor rgb="FF92D05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 patternType="solid">
          <fgColor rgb="FFFFFFFF"/>
          <bgColor rgb="FF000000"/>
        </patternFill>
      </fill>
    </dxf>
  </dxfs>
  <tableStyles count="0" defaultTableStyle="TableStyleMedium9" defaultPivotStyle="PivotStyleLight16"/>
  <colors>
    <mruColors>
      <color rgb="FFA50021"/>
      <color rgb="FFF4FD7F"/>
      <color rgb="FFFFFF66"/>
      <color rgb="FFFF0000"/>
      <color rgb="FFCCFF66"/>
      <color rgb="FFFF6699"/>
      <color rgb="FFCCFF33"/>
      <color rgb="FFCCFD66"/>
      <color rgb="FF80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4"/>
  <dimension ref="A1:AC368"/>
  <sheetViews>
    <sheetView tabSelected="1" zoomScale="85" zoomScaleNormal="85" workbookViewId="0">
      <pane xSplit="1" ySplit="2" topLeftCell="B341" activePane="bottomRight" state="frozen"/>
      <selection activeCell="K52" sqref="K52"/>
      <selection pane="topRight" activeCell="K52" sqref="K52"/>
      <selection pane="bottomLeft" activeCell="K52" sqref="K52"/>
      <selection pane="bottomRight" activeCell="V349" sqref="V349"/>
    </sheetView>
  </sheetViews>
  <sheetFormatPr defaultRowHeight="14.4" x14ac:dyDescent="0.3"/>
  <cols>
    <col min="1" max="1" width="10.88671875" style="373" customWidth="1"/>
    <col min="2" max="2" width="7.33203125" style="91" customWidth="1"/>
    <col min="3" max="8" width="7.33203125" customWidth="1"/>
    <col min="9" max="9" width="7.33203125" style="92" customWidth="1"/>
    <col min="10" max="12" width="7.33203125" customWidth="1"/>
    <col min="13" max="13" width="7.33203125" style="91" customWidth="1"/>
    <col min="14" max="14" width="7.33203125" customWidth="1"/>
    <col min="15" max="15" width="7.33203125" style="92" customWidth="1"/>
    <col min="16" max="18" width="11.109375" customWidth="1"/>
    <col min="19" max="19" width="8.44140625" style="91" customWidth="1"/>
    <col min="20" max="21" width="8.44140625" customWidth="1"/>
    <col min="22" max="22" width="5.6640625" style="92" customWidth="1"/>
    <col min="23" max="23" width="7.109375" customWidth="1"/>
    <col min="24" max="24" width="11.44140625" customWidth="1"/>
    <col min="25" max="25" width="10" customWidth="1"/>
    <col min="26" max="26" width="8.44140625" customWidth="1"/>
    <col min="27" max="27" width="8.6640625" customWidth="1"/>
    <col min="28" max="28" width="28.44140625" style="264" customWidth="1"/>
  </cols>
  <sheetData>
    <row r="1" spans="1:29" s="15" customFormat="1" ht="16.5" customHeight="1" thickBot="1" x14ac:dyDescent="0.35">
      <c r="A1" s="43" t="s">
        <v>0</v>
      </c>
      <c r="B1" s="406" t="s">
        <v>2</v>
      </c>
      <c r="C1" s="407"/>
      <c r="D1" s="407"/>
      <c r="E1" s="407"/>
      <c r="F1" s="407"/>
      <c r="G1" s="407"/>
      <c r="H1" s="407"/>
      <c r="I1" s="408"/>
      <c r="J1" s="421" t="s">
        <v>5</v>
      </c>
      <c r="K1" s="422"/>
      <c r="L1" s="423"/>
      <c r="M1" s="415" t="s">
        <v>35</v>
      </c>
      <c r="N1" s="416"/>
      <c r="O1" s="417"/>
      <c r="P1" s="418" t="s">
        <v>7</v>
      </c>
      <c r="Q1" s="419"/>
      <c r="R1" s="420"/>
      <c r="S1" s="412" t="s">
        <v>10</v>
      </c>
      <c r="T1" s="413"/>
      <c r="U1" s="413"/>
      <c r="V1" s="414"/>
      <c r="W1" s="409" t="s">
        <v>14</v>
      </c>
      <c r="X1" s="410"/>
      <c r="Y1" s="410"/>
      <c r="Z1" s="410"/>
      <c r="AA1" s="411"/>
      <c r="AB1" s="339" t="s">
        <v>19</v>
      </c>
      <c r="AC1" s="400"/>
    </row>
    <row r="2" spans="1:29" s="15" customFormat="1" ht="28.8" x14ac:dyDescent="0.3">
      <c r="A2" s="369"/>
      <c r="B2" s="167" t="s">
        <v>93</v>
      </c>
      <c r="C2" s="168" t="s">
        <v>92</v>
      </c>
      <c r="D2" s="168" t="s">
        <v>91</v>
      </c>
      <c r="E2" s="168" t="s">
        <v>3</v>
      </c>
      <c r="F2" s="168" t="s">
        <v>4</v>
      </c>
      <c r="G2" s="168" t="s">
        <v>198</v>
      </c>
      <c r="H2" s="168" t="s">
        <v>6</v>
      </c>
      <c r="I2" s="169" t="s">
        <v>88</v>
      </c>
      <c r="J2" s="365" t="s">
        <v>20</v>
      </c>
      <c r="K2" s="168" t="s">
        <v>21</v>
      </c>
      <c r="L2" s="374" t="s">
        <v>218</v>
      </c>
      <c r="M2" s="167" t="s">
        <v>40</v>
      </c>
      <c r="N2" s="168" t="s">
        <v>39</v>
      </c>
      <c r="O2" s="169" t="s">
        <v>219</v>
      </c>
      <c r="P2" s="365" t="s">
        <v>8</v>
      </c>
      <c r="Q2" s="168" t="s">
        <v>9</v>
      </c>
      <c r="R2" s="374" t="s">
        <v>84</v>
      </c>
      <c r="S2" s="170" t="s">
        <v>11</v>
      </c>
      <c r="T2" s="171" t="s">
        <v>44</v>
      </c>
      <c r="U2" s="172" t="s">
        <v>41</v>
      </c>
      <c r="V2" s="173" t="s">
        <v>13</v>
      </c>
      <c r="W2" s="171" t="s">
        <v>15</v>
      </c>
      <c r="X2" s="172" t="s">
        <v>212</v>
      </c>
      <c r="Y2" s="172" t="s">
        <v>17</v>
      </c>
      <c r="Z2" s="172" t="s">
        <v>89</v>
      </c>
      <c r="AA2" s="392" t="s">
        <v>18</v>
      </c>
      <c r="AB2" s="258"/>
      <c r="AC2" s="400"/>
    </row>
    <row r="3" spans="1:29" s="33" customFormat="1" x14ac:dyDescent="0.3">
      <c r="A3" s="370">
        <v>45292</v>
      </c>
      <c r="B3" s="57">
        <v>5.7</v>
      </c>
      <c r="C3" s="29">
        <v>5.5</v>
      </c>
      <c r="D3" s="29">
        <v>1.9</v>
      </c>
      <c r="E3" s="29">
        <v>6.3</v>
      </c>
      <c r="F3" s="29">
        <v>0.4</v>
      </c>
      <c r="G3" s="29">
        <f t="shared" ref="G3:G62" si="0">E3-F3</f>
        <v>5.8999999999999995</v>
      </c>
      <c r="H3" s="29">
        <f>(B3+C3+2*D3)/4</f>
        <v>3.75</v>
      </c>
      <c r="I3" s="65">
        <v>4.2155555555555742</v>
      </c>
      <c r="J3" s="366">
        <v>5.6</v>
      </c>
      <c r="K3" s="29">
        <v>0.2</v>
      </c>
      <c r="L3" s="58">
        <v>3.7823611111111033</v>
      </c>
      <c r="M3" s="90">
        <v>99.6</v>
      </c>
      <c r="N3" s="30">
        <v>93.4</v>
      </c>
      <c r="O3" s="87">
        <v>97.024444444444427</v>
      </c>
      <c r="P3" s="376">
        <v>1011.670063991</v>
      </c>
      <c r="Q3" s="31">
        <v>1003.29342981686</v>
      </c>
      <c r="R3" s="382">
        <v>1007.7229534381056</v>
      </c>
      <c r="S3" s="89">
        <v>5.4000000043199998</v>
      </c>
      <c r="T3" s="32">
        <v>4.2333333367200003</v>
      </c>
      <c r="U3" s="32">
        <v>1.629454546758103</v>
      </c>
      <c r="V3" s="174" t="s">
        <v>208</v>
      </c>
      <c r="W3" s="390" t="s">
        <v>214</v>
      </c>
      <c r="X3" s="84">
        <v>36</v>
      </c>
      <c r="Y3" s="85">
        <v>8</v>
      </c>
      <c r="Z3" s="86">
        <v>0</v>
      </c>
      <c r="AA3" s="393">
        <v>0</v>
      </c>
      <c r="AB3" s="259" t="s">
        <v>216</v>
      </c>
      <c r="AC3" s="401"/>
    </row>
    <row r="4" spans="1:29" s="20" customFormat="1" x14ac:dyDescent="0.3">
      <c r="A4" s="370">
        <v>45293</v>
      </c>
      <c r="B4" s="37">
        <v>1.7</v>
      </c>
      <c r="C4" s="14">
        <v>3</v>
      </c>
      <c r="D4" s="14">
        <v>3.9</v>
      </c>
      <c r="E4" s="14">
        <v>4.5999999999999996</v>
      </c>
      <c r="F4" s="14">
        <v>0.1</v>
      </c>
      <c r="G4" s="29">
        <f t="shared" si="0"/>
        <v>4.5</v>
      </c>
      <c r="H4" s="29">
        <f t="shared" ref="H4:H31" si="1">(B4+C4+2*D4)/4</f>
        <v>3.125</v>
      </c>
      <c r="I4" s="60">
        <v>2.4842361111111235</v>
      </c>
      <c r="J4" s="165">
        <v>3.9</v>
      </c>
      <c r="K4" s="14">
        <v>-0.1</v>
      </c>
      <c r="L4" s="50">
        <v>2.1033333333333308</v>
      </c>
      <c r="M4" s="66">
        <v>100</v>
      </c>
      <c r="N4" s="24">
        <v>94</v>
      </c>
      <c r="O4" s="62">
        <v>97.335624999999752</v>
      </c>
      <c r="P4" s="377">
        <v>1011.71090527557</v>
      </c>
      <c r="Q4" s="21">
        <v>1001.7571173500299</v>
      </c>
      <c r="R4" s="383">
        <v>1008.9996822485912</v>
      </c>
      <c r="S4" s="54">
        <v>5.8000000046400002</v>
      </c>
      <c r="T4" s="47">
        <v>4.2300000033840011</v>
      </c>
      <c r="U4" s="25">
        <v>2.2989090927482239</v>
      </c>
      <c r="V4" s="175" t="s">
        <v>208</v>
      </c>
      <c r="W4" s="196" t="s">
        <v>214</v>
      </c>
      <c r="X4" s="16">
        <v>6</v>
      </c>
      <c r="Y4" s="17">
        <v>1.3</v>
      </c>
      <c r="Z4" s="18">
        <v>0</v>
      </c>
      <c r="AA4" s="394">
        <v>0</v>
      </c>
      <c r="AB4" s="260" t="s">
        <v>217</v>
      </c>
      <c r="AC4" s="200"/>
    </row>
    <row r="5" spans="1:29" s="20" customFormat="1" x14ac:dyDescent="0.3">
      <c r="A5" s="370">
        <v>45294</v>
      </c>
      <c r="B5" s="37">
        <v>5.2</v>
      </c>
      <c r="C5" s="14">
        <v>8</v>
      </c>
      <c r="D5" s="14">
        <v>3</v>
      </c>
      <c r="E5" s="14">
        <v>9.6999999999999993</v>
      </c>
      <c r="F5" s="14">
        <v>0.9</v>
      </c>
      <c r="G5" s="29">
        <f t="shared" si="0"/>
        <v>8.7999999999999989</v>
      </c>
      <c r="H5" s="29">
        <f t="shared" si="1"/>
        <v>4.8</v>
      </c>
      <c r="I5" s="60">
        <v>5.4086805555555646</v>
      </c>
      <c r="J5" s="165">
        <v>7.3</v>
      </c>
      <c r="K5" s="14">
        <v>0.6</v>
      </c>
      <c r="L5" s="50">
        <v>4.2514583333333356</v>
      </c>
      <c r="M5" s="66">
        <v>99.2</v>
      </c>
      <c r="N5" s="24">
        <v>78</v>
      </c>
      <c r="O5" s="62">
        <v>92.44083333333333</v>
      </c>
      <c r="P5" s="377">
        <v>1002.06431057829</v>
      </c>
      <c r="Q5" s="21">
        <v>997.28629172393903</v>
      </c>
      <c r="R5" s="383">
        <v>998.70882229534277</v>
      </c>
      <c r="S5" s="54">
        <v>5.8000000046400002</v>
      </c>
      <c r="T5" s="47">
        <v>4.3300000034639989</v>
      </c>
      <c r="U5" s="25">
        <v>2.235112565332023</v>
      </c>
      <c r="V5" s="175" t="s">
        <v>208</v>
      </c>
      <c r="W5" s="196" t="s">
        <v>214</v>
      </c>
      <c r="X5" s="16">
        <v>6</v>
      </c>
      <c r="Y5" s="17">
        <v>0.5</v>
      </c>
      <c r="Z5" s="18">
        <v>0</v>
      </c>
      <c r="AA5" s="394">
        <v>0</v>
      </c>
      <c r="AB5" s="260" t="s">
        <v>215</v>
      </c>
      <c r="AC5" s="200"/>
    </row>
    <row r="6" spans="1:29" s="20" customFormat="1" x14ac:dyDescent="0.3">
      <c r="A6" s="370">
        <v>45295</v>
      </c>
      <c r="B6" s="37">
        <v>1.1000000000000001</v>
      </c>
      <c r="C6" s="14">
        <v>7</v>
      </c>
      <c r="D6" s="14">
        <v>2.2999999999999998</v>
      </c>
      <c r="E6" s="14">
        <v>7.4</v>
      </c>
      <c r="F6" s="14">
        <v>-0.2</v>
      </c>
      <c r="G6" s="29">
        <f t="shared" si="0"/>
        <v>7.6000000000000005</v>
      </c>
      <c r="H6" s="29">
        <f t="shared" si="1"/>
        <v>3.1749999999999998</v>
      </c>
      <c r="I6" s="60">
        <v>3.0267191977077403</v>
      </c>
      <c r="J6" s="165">
        <v>7.4</v>
      </c>
      <c r="K6" s="14">
        <v>-0.4</v>
      </c>
      <c r="L6" s="50">
        <v>2.8651862464183426</v>
      </c>
      <c r="M6" s="66">
        <v>100</v>
      </c>
      <c r="N6" s="24">
        <v>96.7</v>
      </c>
      <c r="O6" s="62">
        <v>98.885959885386811</v>
      </c>
      <c r="P6" s="377">
        <v>1003.48120668103</v>
      </c>
      <c r="Q6" s="21">
        <v>996.18834221649604</v>
      </c>
      <c r="R6" s="383">
        <v>998.56268957978659</v>
      </c>
      <c r="S6" s="55">
        <v>4.1000000032799999</v>
      </c>
      <c r="T6" s="48">
        <v>2.310000001848</v>
      </c>
      <c r="U6" s="19">
        <v>0.81948493748745865</v>
      </c>
      <c r="V6" s="175" t="s">
        <v>209</v>
      </c>
      <c r="W6" s="197" t="s">
        <v>214</v>
      </c>
      <c r="X6" s="16">
        <v>6</v>
      </c>
      <c r="Y6" s="17">
        <v>0.2</v>
      </c>
      <c r="Z6" s="18">
        <v>0</v>
      </c>
      <c r="AA6" s="394">
        <v>0</v>
      </c>
      <c r="AB6" s="260" t="s">
        <v>215</v>
      </c>
      <c r="AC6" s="200"/>
    </row>
    <row r="7" spans="1:29" s="20" customFormat="1" x14ac:dyDescent="0.3">
      <c r="A7" s="370">
        <v>45296</v>
      </c>
      <c r="B7" s="37">
        <v>3.3</v>
      </c>
      <c r="C7" s="14">
        <v>7.8</v>
      </c>
      <c r="D7" s="14">
        <v>6.4</v>
      </c>
      <c r="E7" s="14">
        <v>9.3000000000000007</v>
      </c>
      <c r="F7" s="14">
        <v>3</v>
      </c>
      <c r="G7" s="29">
        <f t="shared" si="0"/>
        <v>6.3000000000000007</v>
      </c>
      <c r="H7" s="29">
        <f t="shared" si="1"/>
        <v>5.9749999999999996</v>
      </c>
      <c r="I7" s="60">
        <v>5.391527777777787</v>
      </c>
      <c r="J7" s="165">
        <v>5.8</v>
      </c>
      <c r="K7" s="14">
        <v>1.8</v>
      </c>
      <c r="L7" s="50">
        <v>3.5261805555555386</v>
      </c>
      <c r="M7" s="66">
        <v>99.4</v>
      </c>
      <c r="N7" s="24">
        <v>75</v>
      </c>
      <c r="O7" s="62">
        <v>88.003125000000011</v>
      </c>
      <c r="P7" s="377">
        <v>1010.3251289221701</v>
      </c>
      <c r="Q7" s="21">
        <v>1003.3788001898899</v>
      </c>
      <c r="R7" s="383">
        <v>1008.4403440990388</v>
      </c>
      <c r="S7" s="54">
        <v>8.8000000070399995</v>
      </c>
      <c r="T7" s="47">
        <v>5.596666671143999</v>
      </c>
      <c r="U7" s="25">
        <v>1.7552578630394298</v>
      </c>
      <c r="V7" s="175" t="s">
        <v>208</v>
      </c>
      <c r="W7" s="197"/>
      <c r="X7" s="16">
        <v>0</v>
      </c>
      <c r="Y7" s="17">
        <v>0</v>
      </c>
      <c r="Z7" s="18">
        <v>0</v>
      </c>
      <c r="AA7" s="394">
        <v>0</v>
      </c>
      <c r="AB7" s="260" t="s">
        <v>220</v>
      </c>
      <c r="AC7" s="200"/>
    </row>
    <row r="8" spans="1:29" s="20" customFormat="1" x14ac:dyDescent="0.3">
      <c r="A8" s="370">
        <v>45297</v>
      </c>
      <c r="B8" s="37">
        <v>6.6</v>
      </c>
      <c r="C8" s="14">
        <v>5.3</v>
      </c>
      <c r="D8" s="14">
        <v>4.8</v>
      </c>
      <c r="E8" s="14">
        <v>7.4</v>
      </c>
      <c r="F8" s="14">
        <v>4</v>
      </c>
      <c r="G8" s="29">
        <f t="shared" si="0"/>
        <v>3.4000000000000004</v>
      </c>
      <c r="H8" s="29">
        <f t="shared" si="1"/>
        <v>5.375</v>
      </c>
      <c r="I8" s="60">
        <v>5.580972222222174</v>
      </c>
      <c r="J8" s="165">
        <v>4.8</v>
      </c>
      <c r="K8" s="14">
        <v>2.8</v>
      </c>
      <c r="L8" s="50">
        <v>3.915000000000004</v>
      </c>
      <c r="M8" s="66">
        <v>98.5</v>
      </c>
      <c r="N8" s="24">
        <v>75.5</v>
      </c>
      <c r="O8" s="62">
        <v>89.341458333333193</v>
      </c>
      <c r="P8" s="377">
        <v>1008.61757088743</v>
      </c>
      <c r="Q8" s="21">
        <v>1005.08501738675</v>
      </c>
      <c r="R8" s="383">
        <v>1006.7020259234133</v>
      </c>
      <c r="S8" s="54">
        <v>5.8000000046400002</v>
      </c>
      <c r="T8" s="47">
        <v>4.2566666700719988</v>
      </c>
      <c r="U8" s="25">
        <v>1.2273878446866848</v>
      </c>
      <c r="V8" s="175" t="s">
        <v>208</v>
      </c>
      <c r="W8" s="197" t="s">
        <v>221</v>
      </c>
      <c r="X8" s="16">
        <v>12</v>
      </c>
      <c r="Y8" s="17">
        <v>16</v>
      </c>
      <c r="Z8" s="18">
        <v>0.2</v>
      </c>
      <c r="AA8" s="394">
        <v>0.2</v>
      </c>
      <c r="AB8" s="260" t="s">
        <v>223</v>
      </c>
      <c r="AC8" s="200"/>
    </row>
    <row r="9" spans="1:29" s="20" customFormat="1" x14ac:dyDescent="0.3">
      <c r="A9" s="370">
        <v>45298</v>
      </c>
      <c r="B9" s="37">
        <v>0.3</v>
      </c>
      <c r="C9" s="14">
        <v>-1.6</v>
      </c>
      <c r="D9" s="14">
        <v>-4.5</v>
      </c>
      <c r="E9" s="14">
        <v>4</v>
      </c>
      <c r="F9" s="14">
        <v>-5.8</v>
      </c>
      <c r="G9" s="29">
        <f t="shared" si="0"/>
        <v>9.8000000000000007</v>
      </c>
      <c r="H9" s="29">
        <f t="shared" si="1"/>
        <v>-2.5750000000000002</v>
      </c>
      <c r="I9" s="60">
        <v>-1.2129861111111109</v>
      </c>
      <c r="J9" s="165">
        <v>3.7</v>
      </c>
      <c r="K9" s="14">
        <v>-8.4</v>
      </c>
      <c r="L9" s="50">
        <v>-2.5056249999999967</v>
      </c>
      <c r="M9" s="66">
        <v>98.1</v>
      </c>
      <c r="N9" s="24">
        <v>81.2</v>
      </c>
      <c r="O9" s="62">
        <v>90.950694444444423</v>
      </c>
      <c r="P9" s="377">
        <v>1015.5648463142099</v>
      </c>
      <c r="Q9" s="21">
        <v>1005.28150387091</v>
      </c>
      <c r="R9" s="383">
        <v>1009.0541307977019</v>
      </c>
      <c r="S9" s="54">
        <v>11.60000000928</v>
      </c>
      <c r="T9" s="47">
        <v>6.2900000050320006</v>
      </c>
      <c r="U9" s="25">
        <v>3.2769146634530419</v>
      </c>
      <c r="V9" s="175" t="s">
        <v>243</v>
      </c>
      <c r="W9" s="197" t="s">
        <v>222</v>
      </c>
      <c r="X9" s="16">
        <v>6</v>
      </c>
      <c r="Y9" s="17">
        <v>1.1000000000000001</v>
      </c>
      <c r="Z9" s="18">
        <v>0.3</v>
      </c>
      <c r="AA9" s="394">
        <v>0.5</v>
      </c>
      <c r="AB9" s="260" t="s">
        <v>224</v>
      </c>
      <c r="AC9" s="200"/>
    </row>
    <row r="10" spans="1:29" s="20" customFormat="1" x14ac:dyDescent="0.3">
      <c r="A10" s="370">
        <v>45299</v>
      </c>
      <c r="B10" s="37">
        <v>-8.1</v>
      </c>
      <c r="C10" s="14">
        <v>-6.9</v>
      </c>
      <c r="D10" s="14">
        <v>-10</v>
      </c>
      <c r="E10" s="14">
        <v>-5.4</v>
      </c>
      <c r="F10" s="14">
        <v>-11.7</v>
      </c>
      <c r="G10" s="29">
        <f t="shared" si="0"/>
        <v>6.2999999999999989</v>
      </c>
      <c r="H10" s="29">
        <f t="shared" si="1"/>
        <v>-8.75</v>
      </c>
      <c r="I10" s="60">
        <v>-8.0110416666666673</v>
      </c>
      <c r="J10" s="165">
        <v>-8.1999999999999993</v>
      </c>
      <c r="K10" s="14">
        <v>-14.1</v>
      </c>
      <c r="L10" s="50">
        <v>-10.800347222222182</v>
      </c>
      <c r="M10" s="66">
        <v>87.1</v>
      </c>
      <c r="N10" s="24">
        <v>70.2</v>
      </c>
      <c r="O10" s="62">
        <v>80.31048611111116</v>
      </c>
      <c r="P10" s="377">
        <v>1031.9671948441301</v>
      </c>
      <c r="Q10" s="21">
        <v>1015.46235717845</v>
      </c>
      <c r="R10" s="383">
        <v>1023.3260101340001</v>
      </c>
      <c r="S10" s="54">
        <v>9.9000000079199992</v>
      </c>
      <c r="T10" s="47">
        <v>6.5966666719439999</v>
      </c>
      <c r="U10" s="25">
        <v>3.7360262038621799</v>
      </c>
      <c r="V10" s="175" t="s">
        <v>210</v>
      </c>
      <c r="W10" s="197"/>
      <c r="X10" s="16">
        <v>0</v>
      </c>
      <c r="Y10" s="17">
        <v>0</v>
      </c>
      <c r="Z10" s="18">
        <v>0</v>
      </c>
      <c r="AA10" s="394">
        <v>0.5</v>
      </c>
      <c r="AB10" s="260" t="s">
        <v>225</v>
      </c>
      <c r="AC10" s="200"/>
    </row>
    <row r="11" spans="1:29" s="20" customFormat="1" x14ac:dyDescent="0.3">
      <c r="A11" s="370">
        <v>45300</v>
      </c>
      <c r="B11" s="37">
        <v>-12.5</v>
      </c>
      <c r="C11" s="14">
        <v>-2.2999999999999998</v>
      </c>
      <c r="D11" s="14">
        <v>-10.3</v>
      </c>
      <c r="E11" s="14">
        <v>-1.8</v>
      </c>
      <c r="F11" s="14">
        <v>-13.3</v>
      </c>
      <c r="G11" s="29">
        <f t="shared" si="0"/>
        <v>11.5</v>
      </c>
      <c r="H11" s="29">
        <f t="shared" si="1"/>
        <v>-8.8500000000000014</v>
      </c>
      <c r="I11" s="60">
        <v>-8.8678472222222435</v>
      </c>
      <c r="J11" s="165">
        <v>-7.6</v>
      </c>
      <c r="K11" s="14">
        <v>-15.6</v>
      </c>
      <c r="L11" s="50">
        <v>-12.495208333333302</v>
      </c>
      <c r="M11" s="66">
        <v>87.4</v>
      </c>
      <c r="N11" s="24">
        <v>60</v>
      </c>
      <c r="O11" s="62">
        <v>75.516736111111058</v>
      </c>
      <c r="P11" s="377">
        <v>1035.7767256679599</v>
      </c>
      <c r="Q11" s="21">
        <v>1031.8061642981299</v>
      </c>
      <c r="R11" s="383">
        <v>1034.3835941007733</v>
      </c>
      <c r="S11" s="54">
        <v>6.8000000054400003</v>
      </c>
      <c r="T11" s="47">
        <v>3.6466666695839995</v>
      </c>
      <c r="U11" s="25">
        <v>1.5785247105651352</v>
      </c>
      <c r="V11" s="175" t="s">
        <v>209</v>
      </c>
      <c r="W11" s="197"/>
      <c r="X11" s="16">
        <v>0</v>
      </c>
      <c r="Y11" s="17">
        <v>0</v>
      </c>
      <c r="Z11" s="18">
        <v>0</v>
      </c>
      <c r="AA11" s="394">
        <v>0.4</v>
      </c>
      <c r="AB11" s="260" t="s">
        <v>226</v>
      </c>
      <c r="AC11" s="200"/>
    </row>
    <row r="12" spans="1:29" s="20" customFormat="1" x14ac:dyDescent="0.3">
      <c r="A12" s="370">
        <v>45301</v>
      </c>
      <c r="B12" s="37">
        <v>-13.8</v>
      </c>
      <c r="C12" s="14">
        <v>-2.2000000000000002</v>
      </c>
      <c r="D12" s="14">
        <v>-9.3000000000000007</v>
      </c>
      <c r="E12" s="14">
        <v>-0.9</v>
      </c>
      <c r="F12" s="14">
        <v>-14</v>
      </c>
      <c r="G12" s="29">
        <f t="shared" si="0"/>
        <v>13.1</v>
      </c>
      <c r="H12" s="29">
        <f t="shared" si="1"/>
        <v>-8.65</v>
      </c>
      <c r="I12" s="60">
        <v>-9.0235416666666506</v>
      </c>
      <c r="J12" s="165">
        <v>-5.9</v>
      </c>
      <c r="K12" s="14">
        <v>-15.5</v>
      </c>
      <c r="L12" s="50">
        <v>-11.303333333333313</v>
      </c>
      <c r="M12" s="66">
        <v>91.5</v>
      </c>
      <c r="N12" s="24">
        <v>66.599999999999994</v>
      </c>
      <c r="O12" s="62">
        <v>83.938819444444235</v>
      </c>
      <c r="P12" s="377">
        <v>1035.5047530782199</v>
      </c>
      <c r="Q12" s="21">
        <v>1031.1754887946699</v>
      </c>
      <c r="R12" s="383">
        <v>1033.2918445905923</v>
      </c>
      <c r="S12" s="54">
        <v>2.4000000019200001</v>
      </c>
      <c r="T12" s="47">
        <v>1.4033333344560002</v>
      </c>
      <c r="U12" s="25">
        <v>0.45961724842970664</v>
      </c>
      <c r="V12" s="175" t="s">
        <v>209</v>
      </c>
      <c r="W12" s="197"/>
      <c r="X12" s="16">
        <v>0</v>
      </c>
      <c r="Y12" s="17">
        <v>0</v>
      </c>
      <c r="Z12" s="18">
        <v>0</v>
      </c>
      <c r="AA12" s="394">
        <v>0.3</v>
      </c>
      <c r="AB12" s="260" t="s">
        <v>233</v>
      </c>
      <c r="AC12" s="200"/>
    </row>
    <row r="13" spans="1:29" s="20" customFormat="1" x14ac:dyDescent="0.3">
      <c r="A13" s="370">
        <v>45302</v>
      </c>
      <c r="B13" s="37">
        <v>-12.5</v>
      </c>
      <c r="C13" s="14">
        <v>-2.8</v>
      </c>
      <c r="D13" s="14">
        <v>-4.4000000000000004</v>
      </c>
      <c r="E13" s="14">
        <v>-2.7</v>
      </c>
      <c r="F13" s="14">
        <v>-12.8</v>
      </c>
      <c r="G13" s="29">
        <f t="shared" si="0"/>
        <v>10.100000000000001</v>
      </c>
      <c r="H13" s="29">
        <f t="shared" si="1"/>
        <v>-6.0250000000000004</v>
      </c>
      <c r="I13" s="60">
        <v>-7.2531944444443894</v>
      </c>
      <c r="J13" s="165">
        <v>-5</v>
      </c>
      <c r="K13" s="14">
        <v>-14.3</v>
      </c>
      <c r="L13" s="50">
        <v>-8.8749999999999982</v>
      </c>
      <c r="M13" s="66">
        <v>94</v>
      </c>
      <c r="N13" s="24">
        <v>82.4</v>
      </c>
      <c r="O13" s="62">
        <v>88.213541666666501</v>
      </c>
      <c r="P13" s="377">
        <v>1031.2878106154201</v>
      </c>
      <c r="Q13" s="21">
        <v>1020.7741941848</v>
      </c>
      <c r="R13" s="383">
        <v>1024.9543683436516</v>
      </c>
      <c r="S13" s="54">
        <v>2.0000000016000001</v>
      </c>
      <c r="T13" s="47">
        <v>1.3700000010960001</v>
      </c>
      <c r="U13" s="25">
        <v>0.32909399251133986</v>
      </c>
      <c r="V13" s="175" t="s">
        <v>209</v>
      </c>
      <c r="W13" s="197" t="s">
        <v>222</v>
      </c>
      <c r="X13" s="16">
        <v>6</v>
      </c>
      <c r="Y13" s="17">
        <v>0.9</v>
      </c>
      <c r="Z13" s="18">
        <v>0.8</v>
      </c>
      <c r="AA13" s="394">
        <v>0.3</v>
      </c>
      <c r="AB13" s="260" t="s">
        <v>227</v>
      </c>
      <c r="AC13" s="200"/>
    </row>
    <row r="14" spans="1:29" s="20" customFormat="1" x14ac:dyDescent="0.3">
      <c r="A14" s="370">
        <v>45303</v>
      </c>
      <c r="B14" s="37">
        <v>-1.3</v>
      </c>
      <c r="C14" s="14">
        <v>0.7</v>
      </c>
      <c r="D14" s="14">
        <v>-7.4</v>
      </c>
      <c r="E14" s="14">
        <v>1.1000000000000001</v>
      </c>
      <c r="F14" s="14">
        <v>-7.6</v>
      </c>
      <c r="G14" s="29">
        <f t="shared" si="0"/>
        <v>8.6999999999999993</v>
      </c>
      <c r="H14" s="29">
        <f t="shared" si="1"/>
        <v>-3.85</v>
      </c>
      <c r="I14" s="60">
        <v>-2.9944444444444431</v>
      </c>
      <c r="J14" s="165">
        <v>-2.4</v>
      </c>
      <c r="K14" s="14">
        <v>-9.5</v>
      </c>
      <c r="L14" s="50">
        <v>-5.5339583333333326</v>
      </c>
      <c r="M14" s="66">
        <v>96.1</v>
      </c>
      <c r="N14" s="24">
        <v>62.5</v>
      </c>
      <c r="O14" s="62">
        <v>83.08986111111102</v>
      </c>
      <c r="P14" s="377">
        <v>1025.0540866451599</v>
      </c>
      <c r="Q14" s="21">
        <v>1020.5681195769999</v>
      </c>
      <c r="R14" s="383">
        <v>1022.7779532750727</v>
      </c>
      <c r="S14" s="54">
        <v>7.1000000056800001</v>
      </c>
      <c r="T14" s="47">
        <v>3.8800000031040001</v>
      </c>
      <c r="U14" s="25">
        <v>1.4369316334688056</v>
      </c>
      <c r="V14" s="175" t="s">
        <v>209</v>
      </c>
      <c r="W14" s="197" t="s">
        <v>228</v>
      </c>
      <c r="X14" s="16">
        <v>0</v>
      </c>
      <c r="Y14" s="17">
        <v>0</v>
      </c>
      <c r="Z14" s="18">
        <v>0</v>
      </c>
      <c r="AA14" s="394">
        <v>1</v>
      </c>
      <c r="AB14" s="260" t="s">
        <v>229</v>
      </c>
      <c r="AC14" s="200"/>
    </row>
    <row r="15" spans="1:29" s="177" customFormat="1" x14ac:dyDescent="0.3">
      <c r="A15" s="370">
        <v>45304</v>
      </c>
      <c r="B15" s="270">
        <v>-3.6</v>
      </c>
      <c r="C15" s="271">
        <v>-1.4</v>
      </c>
      <c r="D15" s="271">
        <v>-2.2999999999999998</v>
      </c>
      <c r="E15" s="271">
        <v>-0.9</v>
      </c>
      <c r="F15" s="271">
        <v>-5.6</v>
      </c>
      <c r="G15" s="29">
        <f t="shared" si="0"/>
        <v>4.6999999999999993</v>
      </c>
      <c r="H15" s="29">
        <f t="shared" si="1"/>
        <v>-2.4</v>
      </c>
      <c r="I15" s="272">
        <v>-2.7674999999999979</v>
      </c>
      <c r="J15" s="367">
        <v>-2.9</v>
      </c>
      <c r="K15" s="271">
        <v>-6.9</v>
      </c>
      <c r="L15" s="375">
        <v>-4.4490972222222132</v>
      </c>
      <c r="M15" s="273">
        <v>90.4</v>
      </c>
      <c r="N15" s="274">
        <v>84.8</v>
      </c>
      <c r="O15" s="275">
        <v>88.170763888888885</v>
      </c>
      <c r="P15" s="378">
        <v>1020.5681195769999</v>
      </c>
      <c r="Q15" s="276">
        <v>1010.2893454305801</v>
      </c>
      <c r="R15" s="384">
        <v>1016.2945542624094</v>
      </c>
      <c r="S15" s="277">
        <v>5.4000000043199998</v>
      </c>
      <c r="T15" s="278">
        <v>4.1300000033039996</v>
      </c>
      <c r="U15" s="279">
        <v>1.1132021785693538</v>
      </c>
      <c r="V15" s="280" t="s">
        <v>208</v>
      </c>
      <c r="W15" s="198" t="s">
        <v>222</v>
      </c>
      <c r="X15" s="281">
        <v>6</v>
      </c>
      <c r="Y15" s="282">
        <v>0.3</v>
      </c>
      <c r="Z15" s="283">
        <v>0.2</v>
      </c>
      <c r="AA15" s="395">
        <v>0.5</v>
      </c>
      <c r="AB15" s="269" t="s">
        <v>230</v>
      </c>
      <c r="AC15" s="198"/>
    </row>
    <row r="16" spans="1:29" s="20" customFormat="1" x14ac:dyDescent="0.3">
      <c r="A16" s="370">
        <v>45305</v>
      </c>
      <c r="B16" s="37">
        <v>-1.9</v>
      </c>
      <c r="C16" s="14">
        <v>-0.5</v>
      </c>
      <c r="D16" s="14">
        <v>-1.7</v>
      </c>
      <c r="E16" s="14">
        <v>0</v>
      </c>
      <c r="F16" s="14">
        <v>-2.9</v>
      </c>
      <c r="G16" s="29">
        <f t="shared" si="0"/>
        <v>2.9</v>
      </c>
      <c r="H16" s="29">
        <f t="shared" si="1"/>
        <v>-1.45</v>
      </c>
      <c r="I16" s="60">
        <v>-1.5865277777777755</v>
      </c>
      <c r="J16" s="165">
        <v>-2.7</v>
      </c>
      <c r="K16" s="14">
        <v>-4.0999999999999996</v>
      </c>
      <c r="L16" s="50">
        <v>-3.3583333333333458</v>
      </c>
      <c r="M16" s="66">
        <v>92.2</v>
      </c>
      <c r="N16" s="24">
        <v>80.900000000000006</v>
      </c>
      <c r="O16" s="62">
        <v>87.70687500000011</v>
      </c>
      <c r="P16" s="377">
        <v>1010.40079909704</v>
      </c>
      <c r="Q16" s="21">
        <v>1002.7884507312</v>
      </c>
      <c r="R16" s="383">
        <v>1006.0898384437675</v>
      </c>
      <c r="S16" s="54">
        <v>6.5000000052000004</v>
      </c>
      <c r="T16" s="47">
        <v>3.9133333364640004</v>
      </c>
      <c r="U16" s="25">
        <v>1.6977003160519328</v>
      </c>
      <c r="V16" s="175" t="s">
        <v>208</v>
      </c>
      <c r="W16" s="198" t="s">
        <v>228</v>
      </c>
      <c r="X16" s="26">
        <v>0</v>
      </c>
      <c r="Y16" s="27">
        <v>0</v>
      </c>
      <c r="Z16" s="28">
        <v>0</v>
      </c>
      <c r="AA16" s="396">
        <v>0.7</v>
      </c>
      <c r="AB16" s="261" t="s">
        <v>231</v>
      </c>
      <c r="AC16" s="200"/>
    </row>
    <row r="17" spans="1:29" s="20" customFormat="1" x14ac:dyDescent="0.3">
      <c r="A17" s="370">
        <v>45306</v>
      </c>
      <c r="B17" s="37">
        <v>-3.7</v>
      </c>
      <c r="C17" s="14">
        <v>2</v>
      </c>
      <c r="D17" s="14">
        <v>-2.2999999999999998</v>
      </c>
      <c r="E17" s="14">
        <v>2.4</v>
      </c>
      <c r="F17" s="14">
        <v>-4</v>
      </c>
      <c r="G17" s="29">
        <f t="shared" si="0"/>
        <v>6.4</v>
      </c>
      <c r="H17" s="29">
        <f t="shared" si="1"/>
        <v>-1.575</v>
      </c>
      <c r="I17" s="60">
        <v>-1.5619081272084825</v>
      </c>
      <c r="J17" s="165">
        <v>-1.1000000000000001</v>
      </c>
      <c r="K17" s="14">
        <v>-5.3</v>
      </c>
      <c r="L17" s="50">
        <v>-3.3051590106006983</v>
      </c>
      <c r="M17" s="66">
        <v>94.5</v>
      </c>
      <c r="N17" s="24">
        <v>73.099999999999994</v>
      </c>
      <c r="O17" s="62">
        <v>88.105724381625507</v>
      </c>
      <c r="P17" s="377">
        <v>1002.8226044879</v>
      </c>
      <c r="Q17" s="21">
        <v>996.18625165792105</v>
      </c>
      <c r="R17" s="383">
        <v>998.48010525894449</v>
      </c>
      <c r="S17" s="54">
        <v>6.10000000488</v>
      </c>
      <c r="T17" s="47">
        <v>4.2633333367440001</v>
      </c>
      <c r="U17" s="25">
        <v>1.1891842689775662</v>
      </c>
      <c r="V17" s="175" t="s">
        <v>208</v>
      </c>
      <c r="W17" s="198"/>
      <c r="X17" s="26">
        <v>0</v>
      </c>
      <c r="Y17" s="27">
        <v>0</v>
      </c>
      <c r="Z17" s="28">
        <v>0</v>
      </c>
      <c r="AA17" s="396">
        <v>0.4</v>
      </c>
      <c r="AB17" s="261" t="s">
        <v>232</v>
      </c>
      <c r="AC17" s="200"/>
    </row>
    <row r="18" spans="1:29" s="20" customFormat="1" ht="28.8" x14ac:dyDescent="0.3">
      <c r="A18" s="370">
        <v>45307</v>
      </c>
      <c r="B18" s="37">
        <v>-8.6999999999999993</v>
      </c>
      <c r="C18" s="14">
        <v>4.5999999999999996</v>
      </c>
      <c r="D18" s="14">
        <v>-2.1</v>
      </c>
      <c r="E18" s="14">
        <v>5.3</v>
      </c>
      <c r="F18" s="14">
        <v>-8.8000000000000007</v>
      </c>
      <c r="G18" s="29">
        <f t="shared" si="0"/>
        <v>14.100000000000001</v>
      </c>
      <c r="H18" s="29">
        <f t="shared" si="1"/>
        <v>-2.0750000000000002</v>
      </c>
      <c r="I18" s="60">
        <v>-2.6552083333333258</v>
      </c>
      <c r="J18" s="165">
        <v>-1.9</v>
      </c>
      <c r="K18" s="14">
        <v>-9.6999999999999993</v>
      </c>
      <c r="L18" s="50">
        <v>-5.05520833333334</v>
      </c>
      <c r="M18" s="66">
        <v>96.3</v>
      </c>
      <c r="N18" s="24">
        <v>55.1</v>
      </c>
      <c r="O18" s="62">
        <v>84.555972222222081</v>
      </c>
      <c r="P18" s="377">
        <v>1012.55670541595</v>
      </c>
      <c r="Q18" s="21">
        <v>999.18973915883703</v>
      </c>
      <c r="R18" s="383">
        <v>1006.3767035711518</v>
      </c>
      <c r="S18" s="54">
        <v>6.5000000052000004</v>
      </c>
      <c r="T18" s="47">
        <v>3.780000003024</v>
      </c>
      <c r="U18" s="25">
        <v>0.80417577146149732</v>
      </c>
      <c r="V18" s="175" t="s">
        <v>209</v>
      </c>
      <c r="W18" s="198" t="s">
        <v>228</v>
      </c>
      <c r="X18" s="26">
        <v>0</v>
      </c>
      <c r="Y18" s="27">
        <v>0</v>
      </c>
      <c r="Z18" s="28">
        <v>0</v>
      </c>
      <c r="AA18" s="396">
        <v>0.3</v>
      </c>
      <c r="AB18" s="261" t="s">
        <v>234</v>
      </c>
      <c r="AC18" s="200"/>
    </row>
    <row r="19" spans="1:29" s="20" customFormat="1" x14ac:dyDescent="0.3">
      <c r="A19" s="370">
        <v>45308</v>
      </c>
      <c r="B19" s="37">
        <v>-8.6999999999999993</v>
      </c>
      <c r="C19" s="14">
        <v>0.1</v>
      </c>
      <c r="D19" s="14">
        <v>0.2</v>
      </c>
      <c r="E19" s="14">
        <v>1.6</v>
      </c>
      <c r="F19" s="14">
        <v>-8.9</v>
      </c>
      <c r="G19" s="29">
        <f t="shared" si="0"/>
        <v>10.5</v>
      </c>
      <c r="H19" s="29">
        <f t="shared" si="1"/>
        <v>-2.0499999999999998</v>
      </c>
      <c r="I19" s="60">
        <v>-2.4721527777777941</v>
      </c>
      <c r="J19" s="165">
        <v>0.9</v>
      </c>
      <c r="K19" s="14">
        <v>-9.8000000000000007</v>
      </c>
      <c r="L19" s="50">
        <v>-3.958749999999994</v>
      </c>
      <c r="M19" s="66">
        <v>98.1</v>
      </c>
      <c r="N19" s="24">
        <v>74.5</v>
      </c>
      <c r="O19" s="62">
        <v>89.740486111111153</v>
      </c>
      <c r="P19" s="377">
        <v>1012.76056418332</v>
      </c>
      <c r="Q19" s="21">
        <v>996.87722081846402</v>
      </c>
      <c r="R19" s="383">
        <v>1006.6296730067885</v>
      </c>
      <c r="S19" s="54">
        <v>10.20000000816</v>
      </c>
      <c r="T19" s="47">
        <v>6.1866666716160008</v>
      </c>
      <c r="U19" s="25">
        <v>2.7956274247171193</v>
      </c>
      <c r="V19" s="175" t="s">
        <v>208</v>
      </c>
      <c r="W19" s="198" t="s">
        <v>222</v>
      </c>
      <c r="X19" s="26">
        <v>6</v>
      </c>
      <c r="Y19" s="27">
        <v>0.8</v>
      </c>
      <c r="Z19" s="28">
        <v>1</v>
      </c>
      <c r="AA19" s="396">
        <v>1.5</v>
      </c>
      <c r="AB19" s="261" t="s">
        <v>235</v>
      </c>
      <c r="AC19" s="200"/>
    </row>
    <row r="20" spans="1:29" s="20" customFormat="1" x14ac:dyDescent="0.3">
      <c r="A20" s="370">
        <v>45309</v>
      </c>
      <c r="B20" s="37">
        <v>3.1</v>
      </c>
      <c r="C20" s="14">
        <v>4.4000000000000004</v>
      </c>
      <c r="D20" s="14">
        <v>2.1</v>
      </c>
      <c r="E20" s="14">
        <v>4.8</v>
      </c>
      <c r="F20" s="14">
        <v>1.6</v>
      </c>
      <c r="G20" s="29">
        <f t="shared" si="0"/>
        <v>3.1999999999999997</v>
      </c>
      <c r="H20" s="29">
        <f t="shared" si="1"/>
        <v>2.9249999999999998</v>
      </c>
      <c r="I20" s="60">
        <v>3.1992361111111127</v>
      </c>
      <c r="J20" s="165">
        <v>4.3</v>
      </c>
      <c r="K20" s="14">
        <v>0.8</v>
      </c>
      <c r="L20" s="50">
        <v>2.6929861111111277</v>
      </c>
      <c r="M20" s="66">
        <v>99.2</v>
      </c>
      <c r="N20" s="24">
        <v>93.5</v>
      </c>
      <c r="O20" s="62">
        <v>96.488402777777651</v>
      </c>
      <c r="P20" s="377">
        <v>999.49975556015795</v>
      </c>
      <c r="Q20" s="21">
        <v>991.94383384518198</v>
      </c>
      <c r="R20" s="383">
        <v>994.08290371722785</v>
      </c>
      <c r="S20" s="54">
        <v>9.5000000076000006</v>
      </c>
      <c r="T20" s="47">
        <v>6.6283333386359997</v>
      </c>
      <c r="U20" s="25">
        <v>1.3800658387046465</v>
      </c>
      <c r="V20" s="175" t="s">
        <v>208</v>
      </c>
      <c r="W20" s="198" t="s">
        <v>221</v>
      </c>
      <c r="X20" s="26">
        <v>12</v>
      </c>
      <c r="Y20" s="27">
        <v>3</v>
      </c>
      <c r="Z20" s="28">
        <v>0</v>
      </c>
      <c r="AA20" s="396">
        <v>0</v>
      </c>
      <c r="AB20" s="261" t="s">
        <v>216</v>
      </c>
      <c r="AC20" s="200"/>
    </row>
    <row r="21" spans="1:29" s="20" customFormat="1" x14ac:dyDescent="0.3">
      <c r="A21" s="370">
        <v>45310</v>
      </c>
      <c r="B21" s="37">
        <v>-0.2</v>
      </c>
      <c r="C21" s="14">
        <v>-0.5</v>
      </c>
      <c r="D21" s="14">
        <v>-5.0999999999999996</v>
      </c>
      <c r="E21" s="14">
        <v>1.8</v>
      </c>
      <c r="F21" s="14">
        <v>-5.7</v>
      </c>
      <c r="G21" s="29">
        <f t="shared" si="0"/>
        <v>7.5</v>
      </c>
      <c r="H21" s="29">
        <f t="shared" si="1"/>
        <v>-2.7249999999999996</v>
      </c>
      <c r="I21" s="60">
        <v>-1.3535416666666649</v>
      </c>
      <c r="J21" s="165">
        <v>1.5</v>
      </c>
      <c r="K21" s="14">
        <v>-6.8</v>
      </c>
      <c r="L21" s="50">
        <v>-3.2800000000000007</v>
      </c>
      <c r="M21" s="66">
        <v>97.9</v>
      </c>
      <c r="N21" s="24">
        <v>74.400000000000006</v>
      </c>
      <c r="O21" s="62">
        <v>86.899583333333297</v>
      </c>
      <c r="P21" s="377">
        <v>1022.06837768552</v>
      </c>
      <c r="Q21" s="21">
        <v>999.40310587066597</v>
      </c>
      <c r="R21" s="383">
        <v>1012.0292937039645</v>
      </c>
      <c r="S21" s="54">
        <v>9.2000000073599999</v>
      </c>
      <c r="T21" s="47">
        <v>5.2083333375</v>
      </c>
      <c r="U21" s="25">
        <v>2.160918295293448</v>
      </c>
      <c r="V21" s="175" t="s">
        <v>210</v>
      </c>
      <c r="W21" s="198"/>
      <c r="X21" s="26">
        <v>0</v>
      </c>
      <c r="Y21" s="27">
        <v>0</v>
      </c>
      <c r="Z21" s="28">
        <v>0</v>
      </c>
      <c r="AA21" s="396">
        <v>0</v>
      </c>
      <c r="AB21" s="261" t="s">
        <v>225</v>
      </c>
      <c r="AC21" s="200"/>
    </row>
    <row r="22" spans="1:29" s="20" customFormat="1" x14ac:dyDescent="0.3">
      <c r="A22" s="370">
        <v>45311</v>
      </c>
      <c r="B22" s="37">
        <v>-3.8</v>
      </c>
      <c r="C22" s="14">
        <v>4.5999999999999996</v>
      </c>
      <c r="D22" s="14">
        <v>-5</v>
      </c>
      <c r="E22" s="14">
        <v>4.8</v>
      </c>
      <c r="F22" s="14">
        <v>-5.5</v>
      </c>
      <c r="G22" s="29">
        <f t="shared" si="0"/>
        <v>10.3</v>
      </c>
      <c r="H22" s="29">
        <f t="shared" si="1"/>
        <v>-2.2999999999999998</v>
      </c>
      <c r="I22" s="60">
        <v>-1.4101388888888906</v>
      </c>
      <c r="J22" s="165">
        <v>-1.8</v>
      </c>
      <c r="K22" s="14">
        <v>-6.8</v>
      </c>
      <c r="L22" s="50">
        <v>-4.557638888888893</v>
      </c>
      <c r="M22" s="66">
        <v>94.3</v>
      </c>
      <c r="N22" s="24">
        <v>55.3</v>
      </c>
      <c r="O22" s="62">
        <v>80.125555555555579</v>
      </c>
      <c r="P22" s="377">
        <v>1030.2952401820301</v>
      </c>
      <c r="Q22" s="21">
        <v>1021.8449482928301</v>
      </c>
      <c r="R22" s="383">
        <v>1025.9372840727385</v>
      </c>
      <c r="S22" s="54">
        <v>5.10000000408</v>
      </c>
      <c r="T22" s="47">
        <v>2.9966666690640005</v>
      </c>
      <c r="U22" s="25">
        <v>1.0369385781541447</v>
      </c>
      <c r="V22" s="175" t="s">
        <v>209</v>
      </c>
      <c r="W22" s="198"/>
      <c r="X22" s="26">
        <v>0</v>
      </c>
      <c r="Y22" s="27">
        <v>0</v>
      </c>
      <c r="Z22" s="28">
        <v>0</v>
      </c>
      <c r="AA22" s="396">
        <v>0</v>
      </c>
      <c r="AB22" s="261" t="s">
        <v>236</v>
      </c>
      <c r="AC22" s="200"/>
    </row>
    <row r="23" spans="1:29" s="20" customFormat="1" x14ac:dyDescent="0.3">
      <c r="A23" s="370">
        <v>45312</v>
      </c>
      <c r="B23" s="37">
        <v>-2.1</v>
      </c>
      <c r="C23" s="14">
        <v>0.9</v>
      </c>
      <c r="D23" s="14">
        <v>-4.5</v>
      </c>
      <c r="E23" s="14">
        <v>1.8</v>
      </c>
      <c r="F23" s="14">
        <v>-4.5</v>
      </c>
      <c r="G23" s="29">
        <f t="shared" si="0"/>
        <v>6.3</v>
      </c>
      <c r="H23" s="29">
        <f t="shared" si="1"/>
        <v>-2.5499999999999998</v>
      </c>
      <c r="I23" s="60">
        <v>-1.4286111111111122</v>
      </c>
      <c r="J23" s="165">
        <v>-1</v>
      </c>
      <c r="K23" s="14">
        <v>-5.3</v>
      </c>
      <c r="L23" s="50">
        <v>-3.0453472222222118</v>
      </c>
      <c r="M23" s="66">
        <v>96.6</v>
      </c>
      <c r="N23" s="24">
        <v>79.900000000000006</v>
      </c>
      <c r="O23" s="62">
        <v>88.798680555555535</v>
      </c>
      <c r="P23" s="377">
        <v>1035.5667627873299</v>
      </c>
      <c r="Q23" s="21">
        <v>1029.7737745327699</v>
      </c>
      <c r="R23" s="383">
        <v>1033.4473566331994</v>
      </c>
      <c r="S23" s="54">
        <v>8.5000000068000006</v>
      </c>
      <c r="T23" s="47">
        <v>4.8983333372520006</v>
      </c>
      <c r="U23" s="25">
        <v>0.95589519727126504</v>
      </c>
      <c r="V23" s="175" t="s">
        <v>244</v>
      </c>
      <c r="W23" s="198"/>
      <c r="X23" s="26">
        <v>0</v>
      </c>
      <c r="Y23" s="27">
        <v>0</v>
      </c>
      <c r="Z23" s="28">
        <v>0</v>
      </c>
      <c r="AA23" s="396">
        <v>0</v>
      </c>
      <c r="AB23" s="261" t="s">
        <v>237</v>
      </c>
      <c r="AC23" s="200"/>
    </row>
    <row r="24" spans="1:29" s="20" customFormat="1" x14ac:dyDescent="0.3">
      <c r="A24" s="370">
        <v>45313</v>
      </c>
      <c r="B24" s="37">
        <v>-3.5</v>
      </c>
      <c r="C24" s="14">
        <v>-2.2000000000000002</v>
      </c>
      <c r="D24" s="14">
        <v>-2.2999999999999998</v>
      </c>
      <c r="E24" s="14">
        <v>-0.3</v>
      </c>
      <c r="F24" s="14">
        <v>-3.5</v>
      </c>
      <c r="G24" s="29">
        <f t="shared" si="0"/>
        <v>3.2</v>
      </c>
      <c r="H24" s="29">
        <f t="shared" si="1"/>
        <v>-2.5750000000000002</v>
      </c>
      <c r="I24" s="60">
        <v>-2.178472222222235</v>
      </c>
      <c r="J24" s="165">
        <v>-2.7</v>
      </c>
      <c r="K24" s="14">
        <v>-4.5</v>
      </c>
      <c r="L24" s="50">
        <v>-3.8910416666666858</v>
      </c>
      <c r="M24" s="66">
        <v>93.3</v>
      </c>
      <c r="N24" s="24">
        <v>81</v>
      </c>
      <c r="O24" s="62">
        <v>88.065763888888853</v>
      </c>
      <c r="P24" s="377">
        <v>1034.0874487850799</v>
      </c>
      <c r="Q24" s="21">
        <v>1023.70423006233</v>
      </c>
      <c r="R24" s="383">
        <v>1029.9059536997538</v>
      </c>
      <c r="S24" s="54">
        <v>12.20000000976</v>
      </c>
      <c r="T24" s="47">
        <v>8.8133333403840002</v>
      </c>
      <c r="U24" s="25">
        <v>5.2188638060687698</v>
      </c>
      <c r="V24" s="175" t="s">
        <v>245</v>
      </c>
      <c r="W24" s="198" t="s">
        <v>222</v>
      </c>
      <c r="X24" s="26">
        <v>0</v>
      </c>
      <c r="Y24" s="27">
        <v>0</v>
      </c>
      <c r="Z24" s="28">
        <v>0</v>
      </c>
      <c r="AA24" s="396">
        <v>0</v>
      </c>
      <c r="AB24" s="261" t="s">
        <v>216</v>
      </c>
      <c r="AC24" s="200"/>
    </row>
    <row r="25" spans="1:29" s="20" customFormat="1" x14ac:dyDescent="0.3">
      <c r="A25" s="370">
        <v>45314</v>
      </c>
      <c r="B25" s="37">
        <v>-1.6</v>
      </c>
      <c r="C25" s="14">
        <v>0.6</v>
      </c>
      <c r="D25" s="14">
        <v>-1.8</v>
      </c>
      <c r="E25" s="14">
        <v>2.1</v>
      </c>
      <c r="F25" s="14">
        <v>-2.2999999999999998</v>
      </c>
      <c r="G25" s="29">
        <f t="shared" si="0"/>
        <v>4.4000000000000004</v>
      </c>
      <c r="H25" s="29">
        <f t="shared" si="1"/>
        <v>-1.1499999999999999</v>
      </c>
      <c r="I25" s="60">
        <v>-0.81062499999999915</v>
      </c>
      <c r="J25" s="165">
        <v>0.3</v>
      </c>
      <c r="K25" s="14">
        <v>-3.3</v>
      </c>
      <c r="L25" s="50">
        <v>-2.2242361111111126</v>
      </c>
      <c r="M25" s="66">
        <v>95.9</v>
      </c>
      <c r="N25" s="24">
        <v>82.6</v>
      </c>
      <c r="O25" s="62">
        <v>90.191736111111041</v>
      </c>
      <c r="P25" s="377">
        <v>1029.86704852195</v>
      </c>
      <c r="Q25" s="21">
        <v>1021.46854866469</v>
      </c>
      <c r="R25" s="383">
        <v>1025.0717332368329</v>
      </c>
      <c r="S25" s="54">
        <v>7.1000000056800001</v>
      </c>
      <c r="T25" s="47">
        <v>5.330000004263999</v>
      </c>
      <c r="U25" s="25">
        <v>0.85694343355760383</v>
      </c>
      <c r="V25" s="175" t="s">
        <v>244</v>
      </c>
      <c r="W25" s="198" t="s">
        <v>222</v>
      </c>
      <c r="X25" s="26">
        <v>6</v>
      </c>
      <c r="Y25" s="27">
        <v>3</v>
      </c>
      <c r="Z25" s="28">
        <v>2.7</v>
      </c>
      <c r="AA25" s="396">
        <v>2.7</v>
      </c>
      <c r="AB25" s="261" t="s">
        <v>235</v>
      </c>
      <c r="AC25" s="200"/>
    </row>
    <row r="26" spans="1:29" s="20" customFormat="1" x14ac:dyDescent="0.3">
      <c r="A26" s="370">
        <v>45315</v>
      </c>
      <c r="B26" s="37">
        <v>-1.4</v>
      </c>
      <c r="C26" s="14">
        <v>1.5</v>
      </c>
      <c r="D26" s="14">
        <v>0.6</v>
      </c>
      <c r="E26" s="14">
        <v>2</v>
      </c>
      <c r="F26" s="14">
        <v>-1.7</v>
      </c>
      <c r="G26" s="29">
        <f t="shared" si="0"/>
        <v>3.7</v>
      </c>
      <c r="H26" s="29">
        <f t="shared" si="1"/>
        <v>0.32500000000000001</v>
      </c>
      <c r="I26" s="60">
        <v>6.944444444446413E-3</v>
      </c>
      <c r="J26" s="165">
        <v>0.6</v>
      </c>
      <c r="K26" s="14">
        <v>-2.4</v>
      </c>
      <c r="L26" s="50">
        <v>-0.76652777777778514</v>
      </c>
      <c r="M26" s="66">
        <v>98.3</v>
      </c>
      <c r="N26" s="24">
        <v>88.8</v>
      </c>
      <c r="O26" s="62">
        <v>94.553541666666732</v>
      </c>
      <c r="P26" s="377">
        <v>1029.7462551436399</v>
      </c>
      <c r="Q26" s="21">
        <v>1015.4536981658</v>
      </c>
      <c r="R26" s="383">
        <v>1021.1071033126105</v>
      </c>
      <c r="S26" s="54">
        <v>12.900000010319999</v>
      </c>
      <c r="T26" s="47">
        <v>8.7000000069599999</v>
      </c>
      <c r="U26" s="25">
        <v>3.6367007079908</v>
      </c>
      <c r="V26" s="175" t="s">
        <v>208</v>
      </c>
      <c r="W26" s="198" t="s">
        <v>221</v>
      </c>
      <c r="X26" s="26">
        <v>24</v>
      </c>
      <c r="Y26" s="27">
        <v>3.8</v>
      </c>
      <c r="Z26" s="28">
        <v>0</v>
      </c>
      <c r="AA26" s="396">
        <v>2.6</v>
      </c>
      <c r="AB26" s="261" t="s">
        <v>238</v>
      </c>
      <c r="AC26" s="200"/>
    </row>
    <row r="27" spans="1:29" s="20" customFormat="1" x14ac:dyDescent="0.3">
      <c r="A27" s="370">
        <v>45316</v>
      </c>
      <c r="B27" s="37">
        <v>-1.5</v>
      </c>
      <c r="C27" s="14">
        <v>3.7</v>
      </c>
      <c r="D27" s="14">
        <v>3</v>
      </c>
      <c r="E27" s="14">
        <v>4.3</v>
      </c>
      <c r="F27" s="14">
        <v>-1.6</v>
      </c>
      <c r="G27" s="29">
        <f t="shared" si="0"/>
        <v>5.9</v>
      </c>
      <c r="H27" s="29">
        <f t="shared" si="1"/>
        <v>2.0499999999999998</v>
      </c>
      <c r="I27" s="60">
        <v>1.87513888888889</v>
      </c>
      <c r="J27" s="165">
        <v>3.6</v>
      </c>
      <c r="K27" s="14">
        <v>-1.9</v>
      </c>
      <c r="L27" s="50">
        <v>1.327291666666673</v>
      </c>
      <c r="M27" s="66">
        <v>100</v>
      </c>
      <c r="N27" s="24">
        <v>90</v>
      </c>
      <c r="O27" s="62">
        <v>96.236875000000225</v>
      </c>
      <c r="P27" s="377">
        <v>1016.84425822856</v>
      </c>
      <c r="Q27" s="21">
        <v>1013.63808879096</v>
      </c>
      <c r="R27" s="383">
        <v>1015.0710639980388</v>
      </c>
      <c r="S27" s="54">
        <v>7.5000000059999996</v>
      </c>
      <c r="T27" s="47">
        <v>3.7366666696559996</v>
      </c>
      <c r="U27" s="25">
        <v>1.3407528454202036</v>
      </c>
      <c r="V27" s="175" t="s">
        <v>208</v>
      </c>
      <c r="W27" s="198" t="s">
        <v>239</v>
      </c>
      <c r="X27" s="26">
        <v>0</v>
      </c>
      <c r="Y27" s="27">
        <v>0</v>
      </c>
      <c r="Z27" s="28">
        <v>0</v>
      </c>
      <c r="AA27" s="396">
        <v>2.5</v>
      </c>
      <c r="AB27" s="261" t="s">
        <v>235</v>
      </c>
      <c r="AC27" s="200"/>
    </row>
    <row r="28" spans="1:29" s="20" customFormat="1" x14ac:dyDescent="0.3">
      <c r="A28" s="370">
        <v>45317</v>
      </c>
      <c r="B28" s="37">
        <v>2.7</v>
      </c>
      <c r="C28" s="14">
        <v>7.6</v>
      </c>
      <c r="D28" s="14">
        <v>-0.3</v>
      </c>
      <c r="E28" s="14">
        <v>8.1</v>
      </c>
      <c r="F28" s="14">
        <v>-1.4</v>
      </c>
      <c r="G28" s="29">
        <f t="shared" si="0"/>
        <v>9.5</v>
      </c>
      <c r="H28" s="29">
        <f t="shared" si="1"/>
        <v>2.4250000000000003</v>
      </c>
      <c r="I28" s="60">
        <v>2.9411111111111121</v>
      </c>
      <c r="J28" s="165">
        <v>4</v>
      </c>
      <c r="K28" s="14">
        <v>-2.8</v>
      </c>
      <c r="L28" s="50">
        <v>0.52354166666666913</v>
      </c>
      <c r="M28" s="66">
        <v>95.3</v>
      </c>
      <c r="N28" s="24">
        <v>65.400000000000006</v>
      </c>
      <c r="O28" s="62">
        <v>84.623263888888857</v>
      </c>
      <c r="P28" s="377">
        <v>1023.3613461597701</v>
      </c>
      <c r="Q28" s="21">
        <v>1016.71640604051</v>
      </c>
      <c r="R28" s="383">
        <v>1020.3447435458185</v>
      </c>
      <c r="S28" s="54">
        <v>8.8000000070399995</v>
      </c>
      <c r="T28" s="47">
        <v>4.4366666702159998</v>
      </c>
      <c r="U28" s="25">
        <v>1.7470246748373801</v>
      </c>
      <c r="V28" s="175" t="s">
        <v>210</v>
      </c>
      <c r="W28" s="198" t="s">
        <v>221</v>
      </c>
      <c r="X28" s="26">
        <v>6</v>
      </c>
      <c r="Y28" s="27">
        <v>4.4000000000000004</v>
      </c>
      <c r="Z28" s="28">
        <v>0.5</v>
      </c>
      <c r="AA28" s="396">
        <v>1</v>
      </c>
      <c r="AB28" s="261" t="s">
        <v>240</v>
      </c>
      <c r="AC28" s="200"/>
    </row>
    <row r="29" spans="1:29" s="20" customFormat="1" x14ac:dyDescent="0.3">
      <c r="A29" s="370">
        <v>45318</v>
      </c>
      <c r="B29" s="37">
        <v>1.7</v>
      </c>
      <c r="C29" s="14">
        <v>4.2</v>
      </c>
      <c r="D29" s="14">
        <v>2.6</v>
      </c>
      <c r="E29" s="14">
        <v>4.9000000000000004</v>
      </c>
      <c r="F29" s="14">
        <v>0.1</v>
      </c>
      <c r="G29" s="29">
        <f t="shared" si="0"/>
        <v>4.8000000000000007</v>
      </c>
      <c r="H29" s="29">
        <f t="shared" si="1"/>
        <v>2.7750000000000004</v>
      </c>
      <c r="I29" s="60">
        <v>2.2131944444444338</v>
      </c>
      <c r="J29" s="165">
        <v>2.2999999999999998</v>
      </c>
      <c r="K29" s="14">
        <v>-0.5</v>
      </c>
      <c r="L29" s="50">
        <v>0.79993055555555637</v>
      </c>
      <c r="M29" s="66">
        <v>98.1</v>
      </c>
      <c r="N29" s="24">
        <v>78.2</v>
      </c>
      <c r="O29" s="62">
        <v>90.478124999999878</v>
      </c>
      <c r="P29" s="377">
        <v>1030.1600032890501</v>
      </c>
      <c r="Q29" s="21">
        <v>1017.57064938592</v>
      </c>
      <c r="R29" s="383">
        <v>1023.2166281607574</v>
      </c>
      <c r="S29" s="54">
        <v>6.8000000054400003</v>
      </c>
      <c r="T29" s="47">
        <v>3.8600000030880004</v>
      </c>
      <c r="U29" s="25">
        <v>1.5003279895384551</v>
      </c>
      <c r="V29" s="175" t="s">
        <v>210</v>
      </c>
      <c r="W29" s="198" t="s">
        <v>221</v>
      </c>
      <c r="X29" s="26">
        <v>6</v>
      </c>
      <c r="Y29" s="27">
        <v>0.2</v>
      </c>
      <c r="Z29" s="28">
        <v>0</v>
      </c>
      <c r="AA29" s="396">
        <v>1.5</v>
      </c>
      <c r="AB29" s="261" t="s">
        <v>235</v>
      </c>
      <c r="AC29" s="200"/>
    </row>
    <row r="30" spans="1:29" s="20" customFormat="1" x14ac:dyDescent="0.3">
      <c r="A30" s="370">
        <v>45319</v>
      </c>
      <c r="B30" s="37">
        <v>2.2000000000000002</v>
      </c>
      <c r="C30" s="14">
        <v>5</v>
      </c>
      <c r="D30" s="14">
        <v>1.1000000000000001</v>
      </c>
      <c r="E30" s="14">
        <v>5</v>
      </c>
      <c r="F30" s="14">
        <v>0.4</v>
      </c>
      <c r="G30" s="29">
        <f t="shared" si="0"/>
        <v>4.5999999999999996</v>
      </c>
      <c r="H30" s="29">
        <f t="shared" si="1"/>
        <v>2.35</v>
      </c>
      <c r="I30" s="60">
        <v>2.4317663817663804</v>
      </c>
      <c r="J30" s="165">
        <v>1.4</v>
      </c>
      <c r="K30" s="14">
        <v>-0.8</v>
      </c>
      <c r="L30" s="50">
        <v>-1.0327635327635008E-2</v>
      </c>
      <c r="M30" s="66">
        <v>94.3</v>
      </c>
      <c r="N30" s="24">
        <v>72.400000000000006</v>
      </c>
      <c r="O30" s="62">
        <v>84.15327635327634</v>
      </c>
      <c r="P30" s="377">
        <v>1039.26827149019</v>
      </c>
      <c r="Q30" s="21">
        <v>1029.97293100927</v>
      </c>
      <c r="R30" s="383">
        <v>1035.567892217608</v>
      </c>
      <c r="S30" s="54">
        <v>9.5000000076000006</v>
      </c>
      <c r="T30" s="47">
        <v>5.2733333375519997</v>
      </c>
      <c r="U30" s="25">
        <v>1.8306385059558756</v>
      </c>
      <c r="V30" s="175" t="s">
        <v>210</v>
      </c>
      <c r="W30" s="198" t="s">
        <v>239</v>
      </c>
      <c r="X30" s="26">
        <v>0</v>
      </c>
      <c r="Y30" s="27">
        <v>0</v>
      </c>
      <c r="Z30" s="28">
        <v>0</v>
      </c>
      <c r="AA30" s="396">
        <v>0</v>
      </c>
      <c r="AB30" s="261" t="s">
        <v>216</v>
      </c>
      <c r="AC30" s="200"/>
    </row>
    <row r="31" spans="1:29" s="20" customFormat="1" x14ac:dyDescent="0.3">
      <c r="A31" s="370">
        <v>45320</v>
      </c>
      <c r="B31" s="37">
        <v>-2.6</v>
      </c>
      <c r="C31" s="14">
        <v>6.1</v>
      </c>
      <c r="D31" s="14">
        <v>-3.2</v>
      </c>
      <c r="E31" s="14">
        <v>6.8</v>
      </c>
      <c r="F31" s="14">
        <v>-4.8</v>
      </c>
      <c r="G31" s="29">
        <f t="shared" si="0"/>
        <v>11.6</v>
      </c>
      <c r="H31" s="29">
        <f t="shared" si="1"/>
        <v>-0.7250000000000002</v>
      </c>
      <c r="I31" s="60">
        <v>0.24784722222222066</v>
      </c>
      <c r="J31" s="165">
        <v>2.2000000000000002</v>
      </c>
      <c r="K31" s="14">
        <v>-5.6</v>
      </c>
      <c r="L31" s="50">
        <v>-1.7915972222222261</v>
      </c>
      <c r="M31" s="66">
        <v>98.4</v>
      </c>
      <c r="N31" s="24">
        <v>66.599999999999994</v>
      </c>
      <c r="O31" s="62">
        <v>86.949722222222334</v>
      </c>
      <c r="P31" s="377">
        <v>1040.56074017274</v>
      </c>
      <c r="Q31" s="21">
        <v>1037.6693275539001</v>
      </c>
      <c r="R31" s="383">
        <v>1038.8445593119636</v>
      </c>
      <c r="S31" s="54">
        <v>5.10000000408</v>
      </c>
      <c r="T31" s="47">
        <v>3.1800000025439994</v>
      </c>
      <c r="U31" s="25">
        <v>0.86661846297336531</v>
      </c>
      <c r="V31" s="175" t="s">
        <v>244</v>
      </c>
      <c r="W31" s="198"/>
      <c r="X31" s="26">
        <v>0</v>
      </c>
      <c r="Y31" s="27">
        <v>0</v>
      </c>
      <c r="Z31" s="28">
        <v>0</v>
      </c>
      <c r="AA31" s="396">
        <v>0</v>
      </c>
      <c r="AB31" s="261" t="s">
        <v>241</v>
      </c>
      <c r="AC31" s="200"/>
    </row>
    <row r="32" spans="1:29" s="20" customFormat="1" x14ac:dyDescent="0.3">
      <c r="A32" s="370">
        <v>45321</v>
      </c>
      <c r="B32" s="37">
        <v>-6.6</v>
      </c>
      <c r="C32" s="14">
        <v>4.3</v>
      </c>
      <c r="D32" s="14">
        <v>-2.5</v>
      </c>
      <c r="E32" s="14">
        <v>4.8</v>
      </c>
      <c r="F32" s="14">
        <v>-6.9</v>
      </c>
      <c r="G32" s="29">
        <f t="shared" si="0"/>
        <v>11.7</v>
      </c>
      <c r="H32" s="29">
        <f>(B32+C32+2*D32)/4</f>
        <v>-1.825</v>
      </c>
      <c r="I32" s="60">
        <v>-1.651180555555563</v>
      </c>
      <c r="J32" s="165">
        <v>-0.2</v>
      </c>
      <c r="K32" s="14">
        <v>-7.7</v>
      </c>
      <c r="L32" s="50">
        <v>-3.7283333333333473</v>
      </c>
      <c r="M32" s="66">
        <v>98.1</v>
      </c>
      <c r="N32" s="24">
        <v>65.099999999999994</v>
      </c>
      <c r="O32" s="62">
        <v>86.587986111111022</v>
      </c>
      <c r="P32" s="377">
        <v>1040.6175836689199</v>
      </c>
      <c r="Q32" s="21">
        <v>1036.5261131653001</v>
      </c>
      <c r="R32" s="383">
        <v>1038.6343284730228</v>
      </c>
      <c r="S32" s="54">
        <v>6.8000000054400003</v>
      </c>
      <c r="T32" s="47">
        <v>4.2033333366959997</v>
      </c>
      <c r="U32" s="25">
        <v>1.203326077401947</v>
      </c>
      <c r="V32" s="175" t="s">
        <v>209</v>
      </c>
      <c r="W32" s="198"/>
      <c r="X32" s="26">
        <v>0</v>
      </c>
      <c r="Y32" s="27">
        <v>0</v>
      </c>
      <c r="Z32" s="28">
        <v>0</v>
      </c>
      <c r="AA32" s="396">
        <v>0</v>
      </c>
      <c r="AB32" s="261" t="s">
        <v>242</v>
      </c>
      <c r="AC32" s="200"/>
    </row>
    <row r="33" spans="1:29" s="312" customFormat="1" ht="15" thickBot="1" x14ac:dyDescent="0.35">
      <c r="A33" s="370">
        <v>45322</v>
      </c>
      <c r="B33" s="296">
        <v>-1.5</v>
      </c>
      <c r="C33" s="297">
        <v>-0.4</v>
      </c>
      <c r="D33" s="297">
        <v>-0.3</v>
      </c>
      <c r="E33" s="297">
        <v>-0.1</v>
      </c>
      <c r="F33" s="297">
        <v>-3.6</v>
      </c>
      <c r="G33" s="297">
        <f t="shared" si="0"/>
        <v>3.5</v>
      </c>
      <c r="H33" s="297">
        <f>(B33+C33+2*D33)/4</f>
        <v>-0.625</v>
      </c>
      <c r="I33" s="299">
        <v>-1.2776388888888965</v>
      </c>
      <c r="J33" s="368">
        <v>-0.8</v>
      </c>
      <c r="K33" s="297">
        <v>-4.3</v>
      </c>
      <c r="L33" s="298">
        <v>-1.8798611111111001</v>
      </c>
      <c r="M33" s="300">
        <v>97.7</v>
      </c>
      <c r="N33" s="301">
        <v>94</v>
      </c>
      <c r="O33" s="302">
        <v>95.668402777777843</v>
      </c>
      <c r="P33" s="379">
        <v>1036.7310412224699</v>
      </c>
      <c r="Q33" s="303">
        <v>1029.9168894062</v>
      </c>
      <c r="R33" s="385">
        <v>1034.3625749001108</v>
      </c>
      <c r="S33" s="304">
        <v>4.1000000032799999</v>
      </c>
      <c r="T33" s="305">
        <v>2.630000002104</v>
      </c>
      <c r="U33" s="306">
        <v>0.80099177616087069</v>
      </c>
      <c r="V33" s="307" t="s">
        <v>244</v>
      </c>
      <c r="W33" s="391"/>
      <c r="X33" s="308">
        <v>0</v>
      </c>
      <c r="Y33" s="309">
        <v>0</v>
      </c>
      <c r="Z33" s="310">
        <v>0</v>
      </c>
      <c r="AA33" s="397">
        <v>0</v>
      </c>
      <c r="AB33" s="311" t="s">
        <v>217</v>
      </c>
      <c r="AC33" s="357"/>
    </row>
    <row r="34" spans="1:29" s="326" customFormat="1" x14ac:dyDescent="0.3">
      <c r="A34" s="370">
        <v>45323</v>
      </c>
      <c r="B34" s="313">
        <v>-1.4</v>
      </c>
      <c r="C34" s="314">
        <v>0.5</v>
      </c>
      <c r="D34" s="314">
        <v>-0.4</v>
      </c>
      <c r="E34" s="314">
        <v>1</v>
      </c>
      <c r="F34" s="314">
        <v>-2.2000000000000002</v>
      </c>
      <c r="G34" s="315">
        <f t="shared" si="0"/>
        <v>3.2</v>
      </c>
      <c r="H34" s="315">
        <f>(B34+C34+2*D34)/4</f>
        <v>-0.42499999999999999</v>
      </c>
      <c r="I34" s="316">
        <v>-0.39819444444444041</v>
      </c>
      <c r="J34" s="336">
        <v>-0.2</v>
      </c>
      <c r="K34" s="314">
        <v>-2.9</v>
      </c>
      <c r="L34" s="315">
        <v>-1.1300694444444437</v>
      </c>
      <c r="M34" s="317">
        <v>97.6</v>
      </c>
      <c r="N34" s="318">
        <v>89.7</v>
      </c>
      <c r="O34" s="319">
        <v>94.809236111111076</v>
      </c>
      <c r="P34" s="380">
        <v>1030.1559126217001</v>
      </c>
      <c r="Q34" s="320">
        <v>1022.4874393165099</v>
      </c>
      <c r="R34" s="386">
        <v>1024.9065677263777</v>
      </c>
      <c r="S34" s="290">
        <v>6.5000000052000004</v>
      </c>
      <c r="T34" s="291">
        <v>4.5100000036080008</v>
      </c>
      <c r="U34" s="291">
        <v>1.0899323189768571</v>
      </c>
      <c r="V34" s="292" t="s">
        <v>244</v>
      </c>
      <c r="W34" s="335" t="s">
        <v>222</v>
      </c>
      <c r="X34" s="322">
        <v>6</v>
      </c>
      <c r="Y34" s="323">
        <v>1.2</v>
      </c>
      <c r="Z34" s="324">
        <v>0.3</v>
      </c>
      <c r="AA34" s="398">
        <v>0.3</v>
      </c>
      <c r="AB34" s="325" t="s">
        <v>223</v>
      </c>
      <c r="AC34" s="402"/>
    </row>
    <row r="35" spans="1:29" s="20" customFormat="1" x14ac:dyDescent="0.3">
      <c r="A35" s="370">
        <v>45324</v>
      </c>
      <c r="B35" s="37">
        <v>-0.9</v>
      </c>
      <c r="C35" s="14">
        <v>4.5</v>
      </c>
      <c r="D35" s="14">
        <v>-2.6</v>
      </c>
      <c r="E35" s="14">
        <v>7.1</v>
      </c>
      <c r="F35" s="14">
        <v>-2.7</v>
      </c>
      <c r="G35" s="58">
        <f t="shared" si="0"/>
        <v>9.8000000000000007</v>
      </c>
      <c r="H35" s="58">
        <f t="shared" ref="H35:H62" si="2">(B35+C35+2*D35)/4</f>
        <v>-0.4</v>
      </c>
      <c r="I35" s="60">
        <v>0.59747013352073197</v>
      </c>
      <c r="J35" s="165">
        <v>3.6</v>
      </c>
      <c r="K35" s="14">
        <v>-3.5</v>
      </c>
      <c r="L35" s="50">
        <v>-0.53338018271257825</v>
      </c>
      <c r="M35" s="66">
        <v>99.2</v>
      </c>
      <c r="N35" s="24">
        <v>66.3</v>
      </c>
      <c r="O35" s="62">
        <v>92.565214335910227</v>
      </c>
      <c r="P35" s="377">
        <v>1026.0320060065901</v>
      </c>
      <c r="Q35" s="21">
        <v>1019.87791435529</v>
      </c>
      <c r="R35" s="383">
        <v>1024.0012459254199</v>
      </c>
      <c r="S35" s="54">
        <v>4.4000000035199998</v>
      </c>
      <c r="T35" s="47">
        <v>2.7600000022080002</v>
      </c>
      <c r="U35" s="25">
        <v>0.73999502917762727</v>
      </c>
      <c r="V35" s="175" t="s">
        <v>209</v>
      </c>
      <c r="W35" s="196" t="s">
        <v>228</v>
      </c>
      <c r="X35" s="16">
        <v>0</v>
      </c>
      <c r="Y35" s="17">
        <v>0</v>
      </c>
      <c r="Z35" s="18">
        <v>0.5</v>
      </c>
      <c r="AA35" s="394">
        <v>0.8</v>
      </c>
      <c r="AB35" s="260" t="s">
        <v>247</v>
      </c>
      <c r="AC35" s="200"/>
    </row>
    <row r="36" spans="1:29" s="20" customFormat="1" x14ac:dyDescent="0.3">
      <c r="A36" s="370">
        <v>45325</v>
      </c>
      <c r="B36" s="37">
        <v>0.6</v>
      </c>
      <c r="C36" s="14">
        <v>2.1</v>
      </c>
      <c r="D36" s="14">
        <v>1.5</v>
      </c>
      <c r="E36" s="14">
        <v>2.2999999999999998</v>
      </c>
      <c r="F36" s="14">
        <v>-0.3</v>
      </c>
      <c r="G36" s="58">
        <f t="shared" si="0"/>
        <v>2.5999999999999996</v>
      </c>
      <c r="H36" s="58">
        <f t="shared" si="2"/>
        <v>1.425</v>
      </c>
      <c r="I36" s="60">
        <v>1.3004166666666572</v>
      </c>
      <c r="J36" s="165">
        <v>1.5</v>
      </c>
      <c r="K36" s="14">
        <v>-0.7</v>
      </c>
      <c r="L36" s="50">
        <v>0.82145833333333818</v>
      </c>
      <c r="M36" s="66">
        <v>98.5</v>
      </c>
      <c r="N36" s="24">
        <v>94.5</v>
      </c>
      <c r="O36" s="62">
        <v>96.609583333333177</v>
      </c>
      <c r="P36" s="377">
        <v>1019.98035287622</v>
      </c>
      <c r="Q36" s="21">
        <v>1016.63591635426</v>
      </c>
      <c r="R36" s="383">
        <v>1017.7942904875052</v>
      </c>
      <c r="S36" s="54">
        <v>5.10000000408</v>
      </c>
      <c r="T36" s="47">
        <v>2.8666666689599998</v>
      </c>
      <c r="U36" s="25">
        <v>0.92085866335066946</v>
      </c>
      <c r="V36" s="175" t="s">
        <v>244</v>
      </c>
      <c r="W36" s="196" t="s">
        <v>214</v>
      </c>
      <c r="X36" s="16">
        <v>6</v>
      </c>
      <c r="Y36" s="17">
        <v>1.2</v>
      </c>
      <c r="Z36" s="18">
        <v>0</v>
      </c>
      <c r="AA36" s="394">
        <v>0</v>
      </c>
      <c r="AB36" s="260" t="s">
        <v>246</v>
      </c>
      <c r="AC36" s="200"/>
    </row>
    <row r="37" spans="1:29" s="20" customFormat="1" x14ac:dyDescent="0.3">
      <c r="A37" s="370">
        <v>45326</v>
      </c>
      <c r="B37" s="37">
        <v>1.8</v>
      </c>
      <c r="C37" s="14">
        <v>9.4</v>
      </c>
      <c r="D37" s="14">
        <v>2.9</v>
      </c>
      <c r="E37" s="14">
        <v>10.1</v>
      </c>
      <c r="F37" s="14">
        <v>1.5</v>
      </c>
      <c r="G37" s="58">
        <f t="shared" si="0"/>
        <v>8.6</v>
      </c>
      <c r="H37" s="58">
        <f t="shared" si="2"/>
        <v>4.25</v>
      </c>
      <c r="I37" s="60">
        <v>3.6254861111111167</v>
      </c>
      <c r="J37" s="165">
        <v>6.8</v>
      </c>
      <c r="K37" s="14">
        <v>1.3</v>
      </c>
      <c r="L37" s="50">
        <v>2.964513888888904</v>
      </c>
      <c r="M37" s="66">
        <v>100</v>
      </c>
      <c r="N37" s="24">
        <v>70.2</v>
      </c>
      <c r="O37" s="62">
        <v>95.747916666666441</v>
      </c>
      <c r="P37" s="377">
        <v>1016.9431808867</v>
      </c>
      <c r="Q37" s="21">
        <v>1010.38583398935</v>
      </c>
      <c r="R37" s="383">
        <v>1013.8538121308114</v>
      </c>
      <c r="S37" s="55">
        <v>5.4000000043199998</v>
      </c>
      <c r="T37" s="48">
        <v>2.7100000021679995</v>
      </c>
      <c r="U37" s="19">
        <v>0.92377826477987113</v>
      </c>
      <c r="V37" s="175" t="s">
        <v>209</v>
      </c>
      <c r="W37" s="197" t="s">
        <v>214</v>
      </c>
      <c r="X37" s="16">
        <v>12</v>
      </c>
      <c r="Y37" s="17">
        <v>3.9</v>
      </c>
      <c r="Z37" s="18">
        <v>0</v>
      </c>
      <c r="AA37" s="394">
        <v>0</v>
      </c>
      <c r="AB37" s="260" t="s">
        <v>248</v>
      </c>
      <c r="AC37" s="200"/>
    </row>
    <row r="38" spans="1:29" s="20" customFormat="1" ht="28.8" x14ac:dyDescent="0.3">
      <c r="A38" s="370">
        <v>45327</v>
      </c>
      <c r="B38" s="37">
        <v>1</v>
      </c>
      <c r="C38" s="14">
        <v>7.3</v>
      </c>
      <c r="D38" s="14">
        <v>10.1</v>
      </c>
      <c r="E38" s="14">
        <v>10.7</v>
      </c>
      <c r="F38" s="14">
        <v>0.8</v>
      </c>
      <c r="G38" s="58">
        <f t="shared" si="0"/>
        <v>9.8999999999999986</v>
      </c>
      <c r="H38" s="58">
        <f t="shared" si="2"/>
        <v>7.125</v>
      </c>
      <c r="I38" s="60">
        <v>5.8911805555555716</v>
      </c>
      <c r="J38" s="165">
        <v>7.8</v>
      </c>
      <c r="K38" s="14">
        <v>0.6</v>
      </c>
      <c r="L38" s="50">
        <v>4.8026388888888851</v>
      </c>
      <c r="M38" s="66">
        <v>100</v>
      </c>
      <c r="N38" s="24">
        <v>70.599999999999994</v>
      </c>
      <c r="O38" s="62">
        <v>93.201041666666725</v>
      </c>
      <c r="P38" s="377">
        <v>1010.59065576798</v>
      </c>
      <c r="Q38" s="21">
        <v>1006.25515421287</v>
      </c>
      <c r="R38" s="383">
        <v>1008.2505762937453</v>
      </c>
      <c r="S38" s="54">
        <v>8.5000000068000006</v>
      </c>
      <c r="T38" s="47">
        <v>4.9016666705880008</v>
      </c>
      <c r="U38" s="25">
        <v>0.97064297877989703</v>
      </c>
      <c r="V38" s="175" t="s">
        <v>209</v>
      </c>
      <c r="W38" s="197" t="s">
        <v>249</v>
      </c>
      <c r="X38" s="16">
        <v>6</v>
      </c>
      <c r="Y38" s="17">
        <v>0.2</v>
      </c>
      <c r="Z38" s="18">
        <v>0</v>
      </c>
      <c r="AA38" s="394">
        <v>0</v>
      </c>
      <c r="AB38" s="260" t="s">
        <v>250</v>
      </c>
      <c r="AC38" s="200"/>
    </row>
    <row r="39" spans="1:29" s="20" customFormat="1" ht="14.4" customHeight="1" x14ac:dyDescent="0.3">
      <c r="A39" s="370">
        <v>45328</v>
      </c>
      <c r="B39" s="37">
        <v>2.2999999999999998</v>
      </c>
      <c r="C39" s="14">
        <v>11</v>
      </c>
      <c r="D39" s="14">
        <v>1.2</v>
      </c>
      <c r="E39" s="14">
        <v>11.6</v>
      </c>
      <c r="F39" s="14">
        <v>0</v>
      </c>
      <c r="G39" s="58">
        <f t="shared" si="0"/>
        <v>11.6</v>
      </c>
      <c r="H39" s="58">
        <f t="shared" si="2"/>
        <v>3.9250000000000003</v>
      </c>
      <c r="I39" s="60">
        <v>5.0747916666666653</v>
      </c>
      <c r="J39" s="165">
        <v>7.1</v>
      </c>
      <c r="K39" s="14">
        <v>-0.5</v>
      </c>
      <c r="L39" s="50">
        <v>3.1772916666666733</v>
      </c>
      <c r="M39" s="66">
        <v>98.8</v>
      </c>
      <c r="N39" s="24">
        <v>68.900000000000006</v>
      </c>
      <c r="O39" s="62">
        <v>88.133472222222295</v>
      </c>
      <c r="P39" s="377">
        <v>1010.88050365069</v>
      </c>
      <c r="Q39" s="21">
        <v>1007.71752171088</v>
      </c>
      <c r="R39" s="383">
        <v>1009.4651566989589</v>
      </c>
      <c r="S39" s="54">
        <v>3.4000000027200001</v>
      </c>
      <c r="T39" s="47">
        <v>2.2100000017679999</v>
      </c>
      <c r="U39" s="25">
        <v>0.7278424248246923</v>
      </c>
      <c r="V39" s="175" t="s">
        <v>209</v>
      </c>
      <c r="W39" s="197"/>
      <c r="X39" s="16">
        <v>0</v>
      </c>
      <c r="Y39" s="17">
        <v>0</v>
      </c>
      <c r="Z39" s="18">
        <v>0</v>
      </c>
      <c r="AA39" s="394">
        <v>0</v>
      </c>
      <c r="AB39" s="260" t="s">
        <v>251</v>
      </c>
      <c r="AC39" s="200"/>
    </row>
    <row r="40" spans="1:29" s="20" customFormat="1" x14ac:dyDescent="0.3">
      <c r="A40" s="370">
        <v>45329</v>
      </c>
      <c r="B40" s="37">
        <v>-1.1000000000000001</v>
      </c>
      <c r="C40" s="14">
        <v>9.9</v>
      </c>
      <c r="D40" s="14">
        <v>8.1999999999999993</v>
      </c>
      <c r="E40" s="14">
        <v>10.8</v>
      </c>
      <c r="F40" s="14">
        <v>-1.3</v>
      </c>
      <c r="G40" s="58">
        <f t="shared" si="0"/>
        <v>12.100000000000001</v>
      </c>
      <c r="H40" s="58">
        <f t="shared" si="2"/>
        <v>6.3</v>
      </c>
      <c r="I40" s="60">
        <v>4.8863194444444451</v>
      </c>
      <c r="J40" s="165">
        <v>7</v>
      </c>
      <c r="K40" s="14">
        <v>-1.6</v>
      </c>
      <c r="L40" s="50">
        <v>2.796944444444446</v>
      </c>
      <c r="M40" s="66">
        <v>100</v>
      </c>
      <c r="N40" s="24">
        <v>69.400000000000006</v>
      </c>
      <c r="O40" s="62">
        <v>87.227569444444526</v>
      </c>
      <c r="P40" s="377">
        <v>1008.50723853233</v>
      </c>
      <c r="Q40" s="21">
        <v>1000.35977892877</v>
      </c>
      <c r="R40" s="383">
        <v>1003.4584033670679</v>
      </c>
      <c r="S40" s="54">
        <v>5.8000000046400002</v>
      </c>
      <c r="T40" s="47">
        <v>4.3500000034799999</v>
      </c>
      <c r="U40" s="25">
        <v>1.1455660844927429</v>
      </c>
      <c r="V40" s="175" t="s">
        <v>209</v>
      </c>
      <c r="W40" s="197" t="s">
        <v>221</v>
      </c>
      <c r="X40" s="16">
        <v>12</v>
      </c>
      <c r="Y40" s="17">
        <v>0.8</v>
      </c>
      <c r="Z40" s="18">
        <v>0</v>
      </c>
      <c r="AA40" s="394">
        <v>0</v>
      </c>
      <c r="AB40" s="260" t="s">
        <v>252</v>
      </c>
      <c r="AC40" s="200"/>
    </row>
    <row r="41" spans="1:29" s="20" customFormat="1" x14ac:dyDescent="0.3">
      <c r="A41" s="370">
        <v>45330</v>
      </c>
      <c r="B41" s="37">
        <v>1.5</v>
      </c>
      <c r="C41" s="14">
        <v>4</v>
      </c>
      <c r="D41" s="14">
        <v>2.9</v>
      </c>
      <c r="E41" s="14">
        <v>4.2</v>
      </c>
      <c r="F41" s="14">
        <v>1.2</v>
      </c>
      <c r="G41" s="58">
        <f t="shared" si="0"/>
        <v>3</v>
      </c>
      <c r="H41" s="58">
        <f t="shared" si="2"/>
        <v>2.8250000000000002</v>
      </c>
      <c r="I41" s="60">
        <v>2.6128472222222303</v>
      </c>
      <c r="J41" s="165">
        <v>3.1</v>
      </c>
      <c r="K41" s="14">
        <v>0.6</v>
      </c>
      <c r="L41" s="50">
        <v>1.819583333333336</v>
      </c>
      <c r="M41" s="66">
        <v>97.9</v>
      </c>
      <c r="N41" s="24">
        <v>88.6</v>
      </c>
      <c r="O41" s="62">
        <v>94.53020833333332</v>
      </c>
      <c r="P41" s="377">
        <v>1006.23267143186</v>
      </c>
      <c r="Q41" s="21">
        <v>998.58283096107095</v>
      </c>
      <c r="R41" s="383">
        <v>1004.0872840197446</v>
      </c>
      <c r="S41" s="54">
        <v>3.4000000027200001</v>
      </c>
      <c r="T41" s="47">
        <v>2.1633333350640003</v>
      </c>
      <c r="U41" s="25">
        <v>0.48469444483220236</v>
      </c>
      <c r="V41" s="175" t="s">
        <v>210</v>
      </c>
      <c r="W41" s="197" t="s">
        <v>214</v>
      </c>
      <c r="X41" s="16">
        <v>6</v>
      </c>
      <c r="Y41" s="17">
        <v>0.3</v>
      </c>
      <c r="Z41" s="18">
        <v>0</v>
      </c>
      <c r="AA41" s="394">
        <v>0</v>
      </c>
      <c r="AB41" s="260" t="s">
        <v>216</v>
      </c>
      <c r="AC41" s="200"/>
    </row>
    <row r="42" spans="1:29" s="20" customFormat="1" x14ac:dyDescent="0.3">
      <c r="A42" s="370">
        <v>45331</v>
      </c>
      <c r="B42" s="37">
        <v>2.4</v>
      </c>
      <c r="C42" s="14">
        <v>10</v>
      </c>
      <c r="D42" s="14">
        <v>8.3000000000000007</v>
      </c>
      <c r="E42" s="14">
        <v>10.3</v>
      </c>
      <c r="F42" s="14">
        <v>2.2999999999999998</v>
      </c>
      <c r="G42" s="58">
        <f t="shared" si="0"/>
        <v>8</v>
      </c>
      <c r="H42" s="58">
        <f t="shared" si="2"/>
        <v>7.25</v>
      </c>
      <c r="I42" s="60">
        <v>6.2588194444444589</v>
      </c>
      <c r="J42" s="165">
        <v>7.6</v>
      </c>
      <c r="K42" s="14">
        <v>2</v>
      </c>
      <c r="L42" s="50">
        <v>5.3160416666666652</v>
      </c>
      <c r="M42" s="66">
        <v>100</v>
      </c>
      <c r="N42" s="24">
        <v>80.599999999999994</v>
      </c>
      <c r="O42" s="62">
        <v>93.878958333333316</v>
      </c>
      <c r="P42" s="377">
        <v>999.54019092517797</v>
      </c>
      <c r="Q42" s="21">
        <v>997.43699163640997</v>
      </c>
      <c r="R42" s="383">
        <v>998.36797888390072</v>
      </c>
      <c r="S42" s="54">
        <v>7.8000000062400003</v>
      </c>
      <c r="T42" s="47">
        <v>4.4300000035440004</v>
      </c>
      <c r="U42" s="25">
        <v>1.8694444459399959</v>
      </c>
      <c r="V42" s="175" t="s">
        <v>208</v>
      </c>
      <c r="W42" s="197" t="s">
        <v>214</v>
      </c>
      <c r="X42" s="16">
        <v>6</v>
      </c>
      <c r="Y42" s="17">
        <v>2.5</v>
      </c>
      <c r="Z42" s="18">
        <v>0</v>
      </c>
      <c r="AA42" s="394">
        <v>0</v>
      </c>
      <c r="AB42" s="260" t="s">
        <v>216</v>
      </c>
      <c r="AC42" s="200"/>
    </row>
    <row r="43" spans="1:29" s="20" customFormat="1" x14ac:dyDescent="0.3">
      <c r="A43" s="370">
        <v>45332</v>
      </c>
      <c r="B43" s="37">
        <v>8.6</v>
      </c>
      <c r="C43" s="14">
        <v>11.7</v>
      </c>
      <c r="D43" s="14">
        <v>9.6999999999999993</v>
      </c>
      <c r="E43" s="14">
        <v>13</v>
      </c>
      <c r="F43" s="14">
        <v>5.9</v>
      </c>
      <c r="G43" s="58">
        <f t="shared" si="0"/>
        <v>7.1</v>
      </c>
      <c r="H43" s="58">
        <f t="shared" si="2"/>
        <v>9.9249999999999989</v>
      </c>
      <c r="I43" s="60">
        <v>9.5337500000000706</v>
      </c>
      <c r="J43" s="165">
        <v>9.5</v>
      </c>
      <c r="K43" s="14">
        <v>5.5</v>
      </c>
      <c r="L43" s="50">
        <v>8.0189583333333125</v>
      </c>
      <c r="M43" s="66">
        <v>99.7</v>
      </c>
      <c r="N43" s="24">
        <v>77.099999999999994</v>
      </c>
      <c r="O43" s="62">
        <v>90.485208333333446</v>
      </c>
      <c r="P43" s="377">
        <v>998.54200836491202</v>
      </c>
      <c r="Q43" s="21">
        <v>996.41334940361401</v>
      </c>
      <c r="R43" s="383">
        <v>997.64480416711285</v>
      </c>
      <c r="S43" s="54">
        <v>7.5000000059999996</v>
      </c>
      <c r="T43" s="47">
        <v>4.2400000033919998</v>
      </c>
      <c r="U43" s="25">
        <v>2.03085360200618</v>
      </c>
      <c r="V43" s="175" t="s">
        <v>208</v>
      </c>
      <c r="W43" s="197" t="s">
        <v>214</v>
      </c>
      <c r="X43" s="16">
        <v>6</v>
      </c>
      <c r="Y43" s="17">
        <v>0.3</v>
      </c>
      <c r="Z43" s="18">
        <v>0</v>
      </c>
      <c r="AA43" s="394">
        <v>0</v>
      </c>
      <c r="AB43" s="260" t="s">
        <v>252</v>
      </c>
      <c r="AC43" s="200"/>
    </row>
    <row r="44" spans="1:29" s="20" customFormat="1" x14ac:dyDescent="0.3">
      <c r="A44" s="370">
        <v>45333</v>
      </c>
      <c r="B44" s="37">
        <v>8.6</v>
      </c>
      <c r="C44" s="14">
        <v>10</v>
      </c>
      <c r="D44" s="14">
        <v>10.199999999999999</v>
      </c>
      <c r="E44" s="14">
        <v>10.8</v>
      </c>
      <c r="F44" s="14">
        <v>8.4</v>
      </c>
      <c r="G44" s="58">
        <f t="shared" si="0"/>
        <v>2.4000000000000004</v>
      </c>
      <c r="H44" s="58">
        <f t="shared" si="2"/>
        <v>9.75</v>
      </c>
      <c r="I44" s="60">
        <v>9.7314583333333715</v>
      </c>
      <c r="J44" s="165">
        <v>9.5</v>
      </c>
      <c r="K44" s="14">
        <v>7.5</v>
      </c>
      <c r="L44" s="50">
        <v>8.5184722222221989</v>
      </c>
      <c r="M44" s="66">
        <v>96</v>
      </c>
      <c r="N44" s="24">
        <v>86.5</v>
      </c>
      <c r="O44" s="62">
        <v>92.170277777777926</v>
      </c>
      <c r="P44" s="377">
        <v>997.87602422608495</v>
      </c>
      <c r="Q44" s="21">
        <v>994.17500764498902</v>
      </c>
      <c r="R44" s="383">
        <v>996.01077357395957</v>
      </c>
      <c r="S44" s="54">
        <v>10.900000008719999</v>
      </c>
      <c r="T44" s="47">
        <v>6.5500000052399994</v>
      </c>
      <c r="U44" s="25">
        <v>3.465284122508403</v>
      </c>
      <c r="V44" s="175" t="s">
        <v>208</v>
      </c>
      <c r="W44" s="197" t="s">
        <v>214</v>
      </c>
      <c r="X44" s="16">
        <v>6</v>
      </c>
      <c r="Y44" s="17">
        <v>3.3</v>
      </c>
      <c r="Z44" s="18">
        <v>0</v>
      </c>
      <c r="AA44" s="394">
        <v>0</v>
      </c>
      <c r="AB44" s="260" t="s">
        <v>253</v>
      </c>
      <c r="AC44" s="200"/>
    </row>
    <row r="45" spans="1:29" s="20" customFormat="1" ht="28.8" x14ac:dyDescent="0.3">
      <c r="A45" s="370">
        <v>45334</v>
      </c>
      <c r="B45" s="37">
        <v>8.1</v>
      </c>
      <c r="C45" s="14">
        <v>10.199999999999999</v>
      </c>
      <c r="D45" s="14">
        <v>6.6</v>
      </c>
      <c r="E45" s="14">
        <v>11.9</v>
      </c>
      <c r="F45" s="14">
        <v>6.1</v>
      </c>
      <c r="G45" s="58">
        <f t="shared" si="0"/>
        <v>5.8000000000000007</v>
      </c>
      <c r="H45" s="58">
        <f t="shared" si="2"/>
        <v>7.8749999999999991</v>
      </c>
      <c r="I45" s="60">
        <v>8.4862499999999983</v>
      </c>
      <c r="J45" s="165">
        <v>11</v>
      </c>
      <c r="K45" s="14">
        <v>6</v>
      </c>
      <c r="L45" s="50">
        <v>7.9174999999999907</v>
      </c>
      <c r="M45" s="66">
        <v>99.3</v>
      </c>
      <c r="N45" s="24">
        <v>88.8</v>
      </c>
      <c r="O45" s="62">
        <v>96.255624999999924</v>
      </c>
      <c r="P45" s="377">
        <v>1006.10943615108</v>
      </c>
      <c r="Q45" s="21">
        <v>996.44610421918605</v>
      </c>
      <c r="R45" s="383">
        <v>1000.3703767712387</v>
      </c>
      <c r="S45" s="54">
        <v>6.10000000488</v>
      </c>
      <c r="T45" s="47">
        <v>4.1200000032960009</v>
      </c>
      <c r="U45" s="25">
        <v>0.78513119596338288</v>
      </c>
      <c r="V45" s="175" t="s">
        <v>209</v>
      </c>
      <c r="W45" s="197" t="s">
        <v>214</v>
      </c>
      <c r="X45" s="16">
        <v>12</v>
      </c>
      <c r="Y45" s="17">
        <v>3.1</v>
      </c>
      <c r="Z45" s="18">
        <v>0</v>
      </c>
      <c r="AA45" s="394">
        <v>0</v>
      </c>
      <c r="AB45" s="260" t="s">
        <v>254</v>
      </c>
      <c r="AC45" s="200"/>
    </row>
    <row r="46" spans="1:29" s="20" customFormat="1" x14ac:dyDescent="0.3">
      <c r="A46" s="370">
        <v>45335</v>
      </c>
      <c r="B46" s="37">
        <v>5.7</v>
      </c>
      <c r="C46" s="14">
        <v>8.6999999999999993</v>
      </c>
      <c r="D46" s="14">
        <v>4.7</v>
      </c>
      <c r="E46" s="14">
        <v>9.1</v>
      </c>
      <c r="F46" s="14">
        <v>3.1</v>
      </c>
      <c r="G46" s="58">
        <f t="shared" si="0"/>
        <v>6</v>
      </c>
      <c r="H46" s="58">
        <f t="shared" si="2"/>
        <v>5.9499999999999993</v>
      </c>
      <c r="I46" s="60">
        <v>6.3140972222222445</v>
      </c>
      <c r="J46" s="165">
        <v>6.1</v>
      </c>
      <c r="K46" s="14">
        <v>0.2</v>
      </c>
      <c r="L46" s="50">
        <v>3.4093055555555636</v>
      </c>
      <c r="M46" s="66">
        <v>99.6</v>
      </c>
      <c r="N46" s="24">
        <v>65.8</v>
      </c>
      <c r="O46" s="62">
        <v>82.250138888888941</v>
      </c>
      <c r="P46" s="377">
        <v>1020.0267341798</v>
      </c>
      <c r="Q46" s="21">
        <v>1006.0070539961901</v>
      </c>
      <c r="R46" s="383">
        <v>1012.916207787554</v>
      </c>
      <c r="S46" s="54">
        <v>9.2000000073599999</v>
      </c>
      <c r="T46" s="47">
        <v>5.7766666712879999</v>
      </c>
      <c r="U46" s="25">
        <v>2.5403553319815209</v>
      </c>
      <c r="V46" s="175" t="s">
        <v>210</v>
      </c>
      <c r="W46" s="198" t="s">
        <v>239</v>
      </c>
      <c r="X46" s="26">
        <v>0</v>
      </c>
      <c r="Y46" s="27">
        <v>0</v>
      </c>
      <c r="Z46" s="28">
        <v>0</v>
      </c>
      <c r="AA46" s="396">
        <v>0</v>
      </c>
      <c r="AB46" s="261" t="s">
        <v>252</v>
      </c>
      <c r="AC46" s="200"/>
    </row>
    <row r="47" spans="1:29" s="20" customFormat="1" x14ac:dyDescent="0.3">
      <c r="A47" s="370">
        <v>45336</v>
      </c>
      <c r="B47" s="37">
        <v>3.9</v>
      </c>
      <c r="C47" s="14">
        <v>9.3000000000000007</v>
      </c>
      <c r="D47" s="14">
        <v>-1.2</v>
      </c>
      <c r="E47" s="14">
        <v>9.8000000000000007</v>
      </c>
      <c r="F47" s="14">
        <v>-2.9</v>
      </c>
      <c r="G47" s="58">
        <f t="shared" si="0"/>
        <v>12.700000000000001</v>
      </c>
      <c r="H47" s="58">
        <f t="shared" si="2"/>
        <v>2.7</v>
      </c>
      <c r="I47" s="60">
        <v>4.1770833333333481</v>
      </c>
      <c r="J47" s="165">
        <v>3.3</v>
      </c>
      <c r="K47" s="14">
        <v>-3.8</v>
      </c>
      <c r="L47" s="50">
        <v>-0.16118055555555574</v>
      </c>
      <c r="M47" s="66">
        <v>93.6</v>
      </c>
      <c r="N47" s="24">
        <v>55.5</v>
      </c>
      <c r="O47" s="62">
        <v>74.316111111111283</v>
      </c>
      <c r="P47" s="377">
        <v>1024.45773325256</v>
      </c>
      <c r="Q47" s="21">
        <v>1019.77912007451</v>
      </c>
      <c r="R47" s="383">
        <v>1022.3020171362141</v>
      </c>
      <c r="S47" s="54">
        <v>6.8000000054400003</v>
      </c>
      <c r="T47" s="47">
        <v>3.8400000030720007</v>
      </c>
      <c r="U47" s="25">
        <v>1.2886352667313949</v>
      </c>
      <c r="V47" s="175" t="s">
        <v>209</v>
      </c>
      <c r="W47" s="198"/>
      <c r="X47" s="26">
        <v>0</v>
      </c>
      <c r="Y47" s="27">
        <v>0</v>
      </c>
      <c r="Z47" s="28">
        <v>0</v>
      </c>
      <c r="AA47" s="396">
        <v>0</v>
      </c>
      <c r="AB47" s="261" t="s">
        <v>255</v>
      </c>
      <c r="AC47" s="403"/>
    </row>
    <row r="48" spans="1:29" s="20" customFormat="1" x14ac:dyDescent="0.3">
      <c r="A48" s="370">
        <v>45337</v>
      </c>
      <c r="B48" s="37">
        <v>-0.6</v>
      </c>
      <c r="C48" s="14">
        <v>9.4</v>
      </c>
      <c r="D48" s="14">
        <v>-0.7</v>
      </c>
      <c r="E48" s="14">
        <v>9.8000000000000007</v>
      </c>
      <c r="F48" s="14">
        <v>-3</v>
      </c>
      <c r="G48" s="58">
        <f t="shared" si="0"/>
        <v>12.8</v>
      </c>
      <c r="H48" s="58">
        <f t="shared" si="2"/>
        <v>1.85</v>
      </c>
      <c r="I48" s="60">
        <v>1.8428472222222123</v>
      </c>
      <c r="J48" s="165">
        <v>3.9</v>
      </c>
      <c r="K48" s="14">
        <v>-3.8</v>
      </c>
      <c r="L48" s="50">
        <v>-0.40958333333333335</v>
      </c>
      <c r="M48" s="66">
        <v>95.7</v>
      </c>
      <c r="N48" s="24">
        <v>61.9</v>
      </c>
      <c r="O48" s="62">
        <v>86.03506944444446</v>
      </c>
      <c r="P48" s="377">
        <v>1025.1444013216999</v>
      </c>
      <c r="Q48" s="21">
        <v>1022.1753312270801</v>
      </c>
      <c r="R48" s="387">
        <v>1024.0506822733885</v>
      </c>
      <c r="S48" s="54">
        <v>4.1000000032799999</v>
      </c>
      <c r="T48" s="47">
        <v>2.6266666687679998</v>
      </c>
      <c r="U48" s="25">
        <v>0.62049418654290001</v>
      </c>
      <c r="V48" s="175" t="s">
        <v>209</v>
      </c>
      <c r="W48" s="198"/>
      <c r="X48" s="26">
        <v>0</v>
      </c>
      <c r="Y48" s="27">
        <v>0</v>
      </c>
      <c r="Z48" s="28">
        <v>0</v>
      </c>
      <c r="AA48" s="396">
        <v>0</v>
      </c>
      <c r="AB48" s="261" t="s">
        <v>256</v>
      </c>
      <c r="AC48" s="200"/>
    </row>
    <row r="49" spans="1:29" s="20" customFormat="1" x14ac:dyDescent="0.3">
      <c r="A49" s="370">
        <v>45338</v>
      </c>
      <c r="B49" s="37">
        <v>-2.5</v>
      </c>
      <c r="C49" s="14">
        <v>10.5</v>
      </c>
      <c r="D49" s="14">
        <v>0.4</v>
      </c>
      <c r="E49" s="14">
        <v>11.2</v>
      </c>
      <c r="F49" s="14">
        <v>-3.8</v>
      </c>
      <c r="G49" s="58">
        <f t="shared" si="0"/>
        <v>15</v>
      </c>
      <c r="H49" s="58">
        <f t="shared" si="2"/>
        <v>2.2000000000000002</v>
      </c>
      <c r="I49" s="60">
        <v>1.7355555555555582</v>
      </c>
      <c r="J49" s="165">
        <v>5.5</v>
      </c>
      <c r="K49" s="14">
        <v>-4.4000000000000004</v>
      </c>
      <c r="L49" s="50">
        <v>-0.33340277777777694</v>
      </c>
      <c r="M49" s="66">
        <v>98.4</v>
      </c>
      <c r="N49" s="24">
        <v>63.2</v>
      </c>
      <c r="O49" s="62">
        <v>87.328263888888941</v>
      </c>
      <c r="P49" s="377">
        <v>1026.0033202725699</v>
      </c>
      <c r="Q49" s="21">
        <v>1022.03274411799</v>
      </c>
      <c r="R49" s="387">
        <v>1024.2651472764114</v>
      </c>
      <c r="S49" s="54">
        <v>5.4000000043199998</v>
      </c>
      <c r="T49" s="47">
        <v>3.3866666693760004</v>
      </c>
      <c r="U49" s="25">
        <v>0.73319951396855043</v>
      </c>
      <c r="V49" s="175" t="s">
        <v>209</v>
      </c>
      <c r="W49" s="198"/>
      <c r="X49" s="26">
        <v>0</v>
      </c>
      <c r="Y49" s="27">
        <v>0</v>
      </c>
      <c r="Z49" s="28">
        <v>0</v>
      </c>
      <c r="AA49" s="396">
        <v>0</v>
      </c>
      <c r="AB49" s="261" t="s">
        <v>257</v>
      </c>
      <c r="AC49" s="200"/>
    </row>
    <row r="50" spans="1:29" s="20" customFormat="1" x14ac:dyDescent="0.3">
      <c r="A50" s="370">
        <v>45339</v>
      </c>
      <c r="B50" s="37">
        <v>-2.5</v>
      </c>
      <c r="C50" s="14">
        <v>10.5</v>
      </c>
      <c r="D50" s="14">
        <v>5</v>
      </c>
      <c r="E50" s="14">
        <v>10.8</v>
      </c>
      <c r="F50" s="14">
        <v>-2.7</v>
      </c>
      <c r="G50" s="58">
        <f t="shared" si="0"/>
        <v>13.5</v>
      </c>
      <c r="H50" s="58">
        <f t="shared" si="2"/>
        <v>4.5</v>
      </c>
      <c r="I50" s="60">
        <v>3.7</v>
      </c>
      <c r="J50" s="165">
        <v>4.3119884477142501</v>
      </c>
      <c r="K50" s="14">
        <v>-6.3348517412121801</v>
      </c>
      <c r="L50" s="50">
        <v>-0.48562355496149862</v>
      </c>
      <c r="M50" s="66">
        <v>85</v>
      </c>
      <c r="N50" s="24">
        <v>50</v>
      </c>
      <c r="O50" s="62">
        <v>74.811489258991074</v>
      </c>
      <c r="P50" s="377">
        <v>1029.40450789327</v>
      </c>
      <c r="Q50" s="21">
        <v>1024.07288578711</v>
      </c>
      <c r="R50" s="387">
        <v>1025.9547388982432</v>
      </c>
      <c r="S50" s="54">
        <v>3.4000000027200001</v>
      </c>
      <c r="T50" s="47">
        <v>2.1066666683519997</v>
      </c>
      <c r="U50" s="25">
        <v>0.5502534399767649</v>
      </c>
      <c r="V50" s="175" t="s">
        <v>209</v>
      </c>
      <c r="W50" s="198" t="s">
        <v>214</v>
      </c>
      <c r="X50" s="26">
        <v>6</v>
      </c>
      <c r="Y50" s="27">
        <v>1.9</v>
      </c>
      <c r="Z50" s="28">
        <v>0</v>
      </c>
      <c r="AA50" s="396">
        <v>0</v>
      </c>
      <c r="AB50" s="261" t="s">
        <v>252</v>
      </c>
      <c r="AC50" s="200"/>
    </row>
    <row r="51" spans="1:29" s="20" customFormat="1" x14ac:dyDescent="0.3">
      <c r="A51" s="370">
        <v>45340</v>
      </c>
      <c r="B51" s="37">
        <v>4.3</v>
      </c>
      <c r="C51" s="14">
        <v>8.1</v>
      </c>
      <c r="D51" s="14">
        <v>-1.6</v>
      </c>
      <c r="E51" s="14">
        <v>9.6999999999999993</v>
      </c>
      <c r="F51" s="14">
        <v>-3.3</v>
      </c>
      <c r="G51" s="58">
        <f t="shared" si="0"/>
        <v>13</v>
      </c>
      <c r="H51" s="58">
        <f t="shared" si="2"/>
        <v>2.2999999999999998</v>
      </c>
      <c r="I51" s="60">
        <v>3.8285416666666667</v>
      </c>
      <c r="J51" s="165">
        <v>4.9000000000000004</v>
      </c>
      <c r="K51" s="14">
        <v>-4.3</v>
      </c>
      <c r="L51" s="50">
        <v>1.1162499999999989</v>
      </c>
      <c r="M51" s="66">
        <v>99.3</v>
      </c>
      <c r="N51" s="24">
        <v>60.3</v>
      </c>
      <c r="O51" s="62">
        <v>83.273333333333284</v>
      </c>
      <c r="P51" s="377">
        <v>1033.0359428884101</v>
      </c>
      <c r="Q51" s="21">
        <v>1028.2450154294199</v>
      </c>
      <c r="R51" s="387">
        <v>1030.8801269550888</v>
      </c>
      <c r="S51" s="54">
        <v>6.8000000054400003</v>
      </c>
      <c r="T51" s="47">
        <v>4.5400000036320005</v>
      </c>
      <c r="U51" s="25">
        <v>1.6566231582022568</v>
      </c>
      <c r="V51" s="175" t="s">
        <v>209</v>
      </c>
      <c r="W51" s="198"/>
      <c r="X51" s="26">
        <v>0</v>
      </c>
      <c r="Y51" s="27">
        <v>0</v>
      </c>
      <c r="Z51" s="28">
        <v>0</v>
      </c>
      <c r="AA51" s="396">
        <v>0</v>
      </c>
      <c r="AB51" s="261" t="s">
        <v>258</v>
      </c>
      <c r="AC51" s="200"/>
    </row>
    <row r="52" spans="1:29" s="20" customFormat="1" x14ac:dyDescent="0.3">
      <c r="A52" s="370">
        <v>45341</v>
      </c>
      <c r="B52" s="37">
        <v>-4.9000000000000004</v>
      </c>
      <c r="C52" s="14">
        <v>3.3</v>
      </c>
      <c r="D52" s="14">
        <v>2.1</v>
      </c>
      <c r="E52" s="14">
        <v>4.3</v>
      </c>
      <c r="F52" s="14">
        <v>-5.0999999999999996</v>
      </c>
      <c r="G52" s="58">
        <f t="shared" si="0"/>
        <v>9.3999999999999986</v>
      </c>
      <c r="H52" s="58">
        <f t="shared" si="2"/>
        <v>0.64999999999999991</v>
      </c>
      <c r="I52" s="60">
        <v>0.11388888888888631</v>
      </c>
      <c r="J52" s="165">
        <v>2.2999999999999998</v>
      </c>
      <c r="K52" s="14">
        <v>-5.9</v>
      </c>
      <c r="L52" s="50">
        <v>-1.0263888888888946</v>
      </c>
      <c r="M52" s="66">
        <v>96.4</v>
      </c>
      <c r="N52" s="24">
        <v>85.8</v>
      </c>
      <c r="O52" s="62">
        <v>92.128541666666749</v>
      </c>
      <c r="P52" s="377">
        <v>1028.4406975839399</v>
      </c>
      <c r="Q52" s="21">
        <v>1020.40219576714</v>
      </c>
      <c r="R52" s="383">
        <v>1023.5967947959508</v>
      </c>
      <c r="S52" s="54">
        <v>6.5000000052000004</v>
      </c>
      <c r="T52" s="47">
        <v>4.8150000038520009</v>
      </c>
      <c r="U52" s="25">
        <v>0.66257246429816941</v>
      </c>
      <c r="V52" s="175" t="s">
        <v>209</v>
      </c>
      <c r="W52" s="198" t="s">
        <v>239</v>
      </c>
      <c r="X52" s="26">
        <v>0</v>
      </c>
      <c r="Y52" s="27">
        <v>0</v>
      </c>
      <c r="Z52" s="28">
        <v>0</v>
      </c>
      <c r="AA52" s="396">
        <v>0</v>
      </c>
      <c r="AB52" s="261" t="s">
        <v>251</v>
      </c>
      <c r="AC52" s="200"/>
    </row>
    <row r="53" spans="1:29" s="20" customFormat="1" x14ac:dyDescent="0.3">
      <c r="A53" s="370">
        <v>45342</v>
      </c>
      <c r="B53" s="37">
        <v>2.1</v>
      </c>
      <c r="C53" s="14">
        <v>5.5</v>
      </c>
      <c r="D53" s="14">
        <v>4.5999999999999996</v>
      </c>
      <c r="E53" s="14">
        <v>6.2</v>
      </c>
      <c r="F53" s="14">
        <v>0.7</v>
      </c>
      <c r="G53" s="58">
        <f t="shared" si="0"/>
        <v>5.5</v>
      </c>
      <c r="H53" s="58">
        <f t="shared" si="2"/>
        <v>4.1999999999999993</v>
      </c>
      <c r="I53" s="60">
        <v>3.7102083333333389</v>
      </c>
      <c r="J53" s="165">
        <v>5.0999999999999996</v>
      </c>
      <c r="K53" s="14">
        <v>0.2</v>
      </c>
      <c r="L53" s="50">
        <v>3.1623611111111054</v>
      </c>
      <c r="M53" s="66">
        <v>98.8</v>
      </c>
      <c r="N53" s="24">
        <v>89.9</v>
      </c>
      <c r="O53" s="62">
        <v>96.213472222221938</v>
      </c>
      <c r="P53" s="377">
        <v>1022.83365101396</v>
      </c>
      <c r="Q53" s="21">
        <v>1020.97202008365</v>
      </c>
      <c r="R53" s="383">
        <v>1021.9092251030306</v>
      </c>
      <c r="S53" s="54">
        <v>7.1000000056800001</v>
      </c>
      <c r="T53" s="47">
        <v>4.4033333368559999</v>
      </c>
      <c r="U53" s="25">
        <v>0.80402089471513793</v>
      </c>
      <c r="V53" s="175" t="s">
        <v>244</v>
      </c>
      <c r="W53" s="198" t="s">
        <v>214</v>
      </c>
      <c r="X53" s="26">
        <v>12</v>
      </c>
      <c r="Y53" s="27">
        <v>2.1</v>
      </c>
      <c r="Z53" s="28">
        <v>0</v>
      </c>
      <c r="AA53" s="396">
        <v>0</v>
      </c>
      <c r="AB53" s="261" t="s">
        <v>259</v>
      </c>
      <c r="AC53" s="200"/>
    </row>
    <row r="54" spans="1:29" s="20" customFormat="1" x14ac:dyDescent="0.3">
      <c r="A54" s="370">
        <v>45343</v>
      </c>
      <c r="B54" s="37">
        <v>3.1</v>
      </c>
      <c r="C54" s="14">
        <v>10.5</v>
      </c>
      <c r="D54" s="14">
        <v>7</v>
      </c>
      <c r="E54" s="14">
        <v>11.9</v>
      </c>
      <c r="F54" s="14">
        <v>2.4</v>
      </c>
      <c r="G54" s="58">
        <f t="shared" si="0"/>
        <v>9.5</v>
      </c>
      <c r="H54" s="58">
        <f t="shared" si="2"/>
        <v>6.9</v>
      </c>
      <c r="I54" s="60">
        <v>6.5936805555555695</v>
      </c>
      <c r="J54" s="165">
        <v>6.1</v>
      </c>
      <c r="K54" s="14">
        <v>2.2000000000000002</v>
      </c>
      <c r="L54" s="50">
        <v>3.7230555555555451</v>
      </c>
      <c r="M54" s="66">
        <v>100</v>
      </c>
      <c r="N54" s="24">
        <v>55.8</v>
      </c>
      <c r="O54" s="62">
        <v>83.35715277777777</v>
      </c>
      <c r="P54" s="377">
        <v>1022.81280702552</v>
      </c>
      <c r="Q54" s="21">
        <v>1016.62919564553</v>
      </c>
      <c r="R54" s="383">
        <v>1020.1974071176263</v>
      </c>
      <c r="S54" s="54">
        <v>7.1000000056800001</v>
      </c>
      <c r="T54" s="47">
        <v>4.6266666703680004</v>
      </c>
      <c r="U54" s="25">
        <v>1.6014202489140625</v>
      </c>
      <c r="V54" s="175" t="s">
        <v>208</v>
      </c>
      <c r="W54" s="198"/>
      <c r="X54" s="26">
        <v>0</v>
      </c>
      <c r="Y54" s="27">
        <v>0</v>
      </c>
      <c r="Z54" s="28">
        <v>0</v>
      </c>
      <c r="AA54" s="396">
        <v>0</v>
      </c>
      <c r="AB54" s="261" t="s">
        <v>260</v>
      </c>
      <c r="AC54" s="200"/>
    </row>
    <row r="55" spans="1:29" s="20" customFormat="1" x14ac:dyDescent="0.3">
      <c r="A55" s="370">
        <v>45344</v>
      </c>
      <c r="B55" s="37">
        <v>5.2</v>
      </c>
      <c r="C55" s="14">
        <v>8.5</v>
      </c>
      <c r="D55" s="14">
        <v>7</v>
      </c>
      <c r="E55" s="14">
        <v>9.4</v>
      </c>
      <c r="F55" s="14">
        <v>4.5</v>
      </c>
      <c r="G55" s="58">
        <f t="shared" si="0"/>
        <v>4.9000000000000004</v>
      </c>
      <c r="H55" s="58">
        <f t="shared" si="2"/>
        <v>6.9249999999999998</v>
      </c>
      <c r="I55" s="60">
        <v>6.9227083333333175</v>
      </c>
      <c r="J55" s="165">
        <v>6.2</v>
      </c>
      <c r="K55" s="14">
        <v>2.2999999999999998</v>
      </c>
      <c r="L55" s="50">
        <v>4.2015277777778026</v>
      </c>
      <c r="M55" s="66">
        <v>92.6</v>
      </c>
      <c r="N55" s="24">
        <v>68</v>
      </c>
      <c r="O55" s="62">
        <v>83.075972222222106</v>
      </c>
      <c r="P55" s="377">
        <v>1016.85102037964</v>
      </c>
      <c r="Q55" s="21">
        <v>1002.30633853379</v>
      </c>
      <c r="R55" s="383">
        <v>1010.3203686228029</v>
      </c>
      <c r="S55" s="54">
        <v>13.900000011119999</v>
      </c>
      <c r="T55" s="47">
        <v>8.3966666733840007</v>
      </c>
      <c r="U55" s="25">
        <v>4.5495256953392396</v>
      </c>
      <c r="V55" s="175" t="s">
        <v>263</v>
      </c>
      <c r="W55" s="198" t="s">
        <v>214</v>
      </c>
      <c r="X55" s="26">
        <v>18</v>
      </c>
      <c r="Y55" s="27">
        <v>4.9000000000000004</v>
      </c>
      <c r="Z55" s="28">
        <v>0</v>
      </c>
      <c r="AA55" s="396">
        <v>0</v>
      </c>
      <c r="AB55" s="261" t="s">
        <v>252</v>
      </c>
      <c r="AC55" s="200"/>
    </row>
    <row r="56" spans="1:29" s="20" customFormat="1" x14ac:dyDescent="0.3">
      <c r="A56" s="370">
        <v>45345</v>
      </c>
      <c r="B56" s="37">
        <v>7.1</v>
      </c>
      <c r="C56" s="14">
        <v>9.8000000000000007</v>
      </c>
      <c r="D56" s="14">
        <v>8.5</v>
      </c>
      <c r="E56" s="14">
        <v>10</v>
      </c>
      <c r="F56" s="14">
        <v>7</v>
      </c>
      <c r="G56" s="58">
        <f t="shared" si="0"/>
        <v>3</v>
      </c>
      <c r="H56" s="58">
        <f t="shared" si="2"/>
        <v>8.4749999999999996</v>
      </c>
      <c r="I56" s="60">
        <v>8.523888888888882</v>
      </c>
      <c r="J56" s="165">
        <v>7.3</v>
      </c>
      <c r="K56" s="14">
        <v>5.5</v>
      </c>
      <c r="L56" s="50">
        <v>6.3206249999999766</v>
      </c>
      <c r="M56" s="66">
        <v>94.3</v>
      </c>
      <c r="N56" s="24">
        <v>80.599999999999994</v>
      </c>
      <c r="O56" s="62">
        <v>86.083611111111068</v>
      </c>
      <c r="P56" s="377">
        <v>1006.32602825706</v>
      </c>
      <c r="Q56" s="21">
        <v>1001.3434237052099</v>
      </c>
      <c r="R56" s="383">
        <v>1004.0395090841479</v>
      </c>
      <c r="S56" s="54">
        <v>10.20000000816</v>
      </c>
      <c r="T56" s="47">
        <v>6.8050000054439987</v>
      </c>
      <c r="U56" s="25">
        <v>3.7386056221375967</v>
      </c>
      <c r="V56" s="175" t="s">
        <v>208</v>
      </c>
      <c r="W56" s="198" t="s">
        <v>214</v>
      </c>
      <c r="X56" s="26">
        <v>6</v>
      </c>
      <c r="Y56" s="27">
        <v>0.9</v>
      </c>
      <c r="Z56" s="28">
        <v>0</v>
      </c>
      <c r="AA56" s="396">
        <v>0</v>
      </c>
      <c r="AB56" s="261" t="s">
        <v>216</v>
      </c>
      <c r="AC56" s="200"/>
    </row>
    <row r="57" spans="1:29" s="20" customFormat="1" x14ac:dyDescent="0.3">
      <c r="A57" s="370">
        <v>45346</v>
      </c>
      <c r="B57" s="37">
        <v>8.8000000000000007</v>
      </c>
      <c r="C57" s="14">
        <v>13.5</v>
      </c>
      <c r="D57" s="14">
        <v>10.199999999999999</v>
      </c>
      <c r="E57" s="14">
        <v>13.7</v>
      </c>
      <c r="F57" s="14">
        <v>7.3</v>
      </c>
      <c r="G57" s="58">
        <f t="shared" si="0"/>
        <v>6.3999999999999995</v>
      </c>
      <c r="H57" s="58">
        <f t="shared" si="2"/>
        <v>10.675000000000001</v>
      </c>
      <c r="I57" s="60">
        <v>10.61708333333331</v>
      </c>
      <c r="J57" s="165">
        <v>8.4</v>
      </c>
      <c r="K57" s="14">
        <v>5.0999999999999996</v>
      </c>
      <c r="L57" s="50">
        <v>6.9074999999999891</v>
      </c>
      <c r="M57" s="66">
        <v>92.8</v>
      </c>
      <c r="N57" s="24">
        <v>66.3</v>
      </c>
      <c r="O57" s="62">
        <v>78.029999999999873</v>
      </c>
      <c r="P57" s="377">
        <v>1012.49504511173</v>
      </c>
      <c r="Q57" s="21">
        <v>1003.7090223188</v>
      </c>
      <c r="R57" s="383">
        <v>1007.6029384959459</v>
      </c>
      <c r="S57" s="54">
        <v>12.900000010319999</v>
      </c>
      <c r="T57" s="47">
        <v>9.1166666739600011</v>
      </c>
      <c r="U57" s="25">
        <v>3.7031280939614901</v>
      </c>
      <c r="V57" s="175" t="s">
        <v>208</v>
      </c>
      <c r="W57" s="198"/>
      <c r="X57" s="26">
        <v>0</v>
      </c>
      <c r="Y57" s="27">
        <v>0</v>
      </c>
      <c r="Z57" s="28">
        <v>0</v>
      </c>
      <c r="AA57" s="396">
        <v>0</v>
      </c>
      <c r="AB57" s="261" t="s">
        <v>216</v>
      </c>
      <c r="AC57" s="200"/>
    </row>
    <row r="58" spans="1:29" s="20" customFormat="1" x14ac:dyDescent="0.3">
      <c r="A58" s="371">
        <v>45347</v>
      </c>
      <c r="B58" s="37">
        <v>5.2</v>
      </c>
      <c r="C58" s="14">
        <v>12.5</v>
      </c>
      <c r="D58" s="14">
        <v>9.6999999999999993</v>
      </c>
      <c r="E58" s="14">
        <v>13.9</v>
      </c>
      <c r="F58" s="14">
        <v>5.2</v>
      </c>
      <c r="G58" s="50">
        <f t="shared" si="0"/>
        <v>8.6999999999999993</v>
      </c>
      <c r="H58" s="50">
        <f t="shared" si="2"/>
        <v>9.2749999999999986</v>
      </c>
      <c r="I58" s="60">
        <v>9.8575694444444562</v>
      </c>
      <c r="J58" s="165">
        <v>10.6</v>
      </c>
      <c r="K58" s="14">
        <v>4.5999999999999996</v>
      </c>
      <c r="L58" s="50">
        <v>8.4036111111110667</v>
      </c>
      <c r="M58" s="66">
        <v>98.1</v>
      </c>
      <c r="N58" s="24">
        <v>76.3</v>
      </c>
      <c r="O58" s="62">
        <v>90.882986111111066</v>
      </c>
      <c r="P58" s="377">
        <v>1013.13979737715</v>
      </c>
      <c r="Q58" s="21">
        <v>1007.55720369294</v>
      </c>
      <c r="R58" s="383">
        <v>1010.7554142389719</v>
      </c>
      <c r="S58" s="54">
        <v>6.8000000054400003</v>
      </c>
      <c r="T58" s="47">
        <v>4.6100000036879996</v>
      </c>
      <c r="U58" s="25">
        <v>1.6924209259281375</v>
      </c>
      <c r="V58" s="175" t="s">
        <v>208</v>
      </c>
      <c r="W58" s="198" t="s">
        <v>214</v>
      </c>
      <c r="X58" s="26">
        <v>42</v>
      </c>
      <c r="Y58" s="27">
        <v>2.6</v>
      </c>
      <c r="Z58" s="28">
        <v>0</v>
      </c>
      <c r="AA58" s="396">
        <v>0</v>
      </c>
      <c r="AB58" s="261" t="s">
        <v>252</v>
      </c>
      <c r="AC58" s="200"/>
    </row>
    <row r="59" spans="1:29" s="20" customFormat="1" x14ac:dyDescent="0.3">
      <c r="A59" s="370">
        <v>45348</v>
      </c>
      <c r="B59" s="37">
        <v>8.6999999999999993</v>
      </c>
      <c r="C59" s="14">
        <v>14.3</v>
      </c>
      <c r="D59" s="14">
        <v>7.7</v>
      </c>
      <c r="E59" s="14">
        <v>16</v>
      </c>
      <c r="F59" s="14">
        <v>6</v>
      </c>
      <c r="G59" s="58">
        <f t="shared" si="0"/>
        <v>10</v>
      </c>
      <c r="H59" s="58">
        <f t="shared" si="2"/>
        <v>9.6</v>
      </c>
      <c r="I59" s="60">
        <v>10.51000000000001</v>
      </c>
      <c r="J59" s="165">
        <v>10.8</v>
      </c>
      <c r="K59" s="14">
        <v>5.0999999999999996</v>
      </c>
      <c r="L59" s="50">
        <v>8.4720138888888741</v>
      </c>
      <c r="M59" s="66">
        <v>99</v>
      </c>
      <c r="N59" s="24">
        <v>68.5</v>
      </c>
      <c r="O59" s="62">
        <v>87.933819444444509</v>
      </c>
      <c r="P59" s="377">
        <v>1011.84283682519</v>
      </c>
      <c r="Q59" s="21">
        <v>1007.30835293914</v>
      </c>
      <c r="R59" s="383">
        <v>1008.5286373545168</v>
      </c>
      <c r="S59" s="54">
        <v>7.8000000062400003</v>
      </c>
      <c r="T59" s="47">
        <v>4.6333333370399998</v>
      </c>
      <c r="U59" s="25">
        <v>1.4879703823508577</v>
      </c>
      <c r="V59" s="175" t="s">
        <v>208</v>
      </c>
      <c r="W59" s="198"/>
      <c r="X59" s="26">
        <v>0</v>
      </c>
      <c r="Y59" s="27">
        <v>0</v>
      </c>
      <c r="Z59" s="28">
        <v>0</v>
      </c>
      <c r="AA59" s="396">
        <v>0</v>
      </c>
      <c r="AB59" s="261" t="s">
        <v>252</v>
      </c>
      <c r="AC59" s="200"/>
    </row>
    <row r="60" spans="1:29" s="20" customFormat="1" x14ac:dyDescent="0.3">
      <c r="A60" s="371">
        <v>45349</v>
      </c>
      <c r="B60" s="37">
        <v>4.8</v>
      </c>
      <c r="C60" s="14">
        <v>17.899999999999999</v>
      </c>
      <c r="D60" s="14">
        <v>7</v>
      </c>
      <c r="E60" s="14">
        <v>18.3</v>
      </c>
      <c r="F60" s="14">
        <v>4.3</v>
      </c>
      <c r="G60" s="14">
        <f t="shared" si="0"/>
        <v>14</v>
      </c>
      <c r="H60" s="14">
        <f t="shared" si="2"/>
        <v>9.1750000000000007</v>
      </c>
      <c r="I60" s="60">
        <v>10.27715277777774</v>
      </c>
      <c r="J60" s="165">
        <v>10.3</v>
      </c>
      <c r="K60" s="14">
        <v>3.5</v>
      </c>
      <c r="L60" s="50">
        <v>6.7045833333333285</v>
      </c>
      <c r="M60" s="66">
        <v>99.3</v>
      </c>
      <c r="N60" s="24">
        <v>53.3</v>
      </c>
      <c r="O60" s="62">
        <v>80.670347222222318</v>
      </c>
      <c r="P60" s="377">
        <v>1017.0143810201899</v>
      </c>
      <c r="Q60" s="21">
        <v>1011.6380725154</v>
      </c>
      <c r="R60" s="383">
        <v>1014.1714666414665</v>
      </c>
      <c r="S60" s="54">
        <v>7.8000000062400003</v>
      </c>
      <c r="T60" s="25">
        <v>5.3733333376319994</v>
      </c>
      <c r="U60" s="25">
        <v>1.6098617189006961</v>
      </c>
      <c r="V60" s="175" t="s">
        <v>209</v>
      </c>
      <c r="W60" s="198"/>
      <c r="X60" s="26">
        <v>0</v>
      </c>
      <c r="Y60" s="27">
        <v>0</v>
      </c>
      <c r="Z60" s="28">
        <v>0</v>
      </c>
      <c r="AA60" s="396">
        <v>0</v>
      </c>
      <c r="AB60" s="261" t="s">
        <v>252</v>
      </c>
      <c r="AC60" s="200"/>
    </row>
    <row r="61" spans="1:29" s="257" customFormat="1" ht="15" thickBot="1" x14ac:dyDescent="0.35">
      <c r="A61" s="371">
        <v>45350</v>
      </c>
      <c r="B61" s="37">
        <v>3</v>
      </c>
      <c r="C61" s="14">
        <v>13.4</v>
      </c>
      <c r="D61" s="14">
        <v>8.9</v>
      </c>
      <c r="E61" s="14">
        <v>14</v>
      </c>
      <c r="F61" s="14">
        <v>2.7</v>
      </c>
      <c r="G61" s="14">
        <f t="shared" si="0"/>
        <v>11.3</v>
      </c>
      <c r="H61" s="14">
        <f t="shared" si="2"/>
        <v>8.5500000000000007</v>
      </c>
      <c r="I61" s="60">
        <v>8.1808333333333181</v>
      </c>
      <c r="J61" s="165">
        <v>9.3000000000000007</v>
      </c>
      <c r="K61" s="14">
        <v>2.2999999999999998</v>
      </c>
      <c r="L61" s="50">
        <v>6.0899305555555516</v>
      </c>
      <c r="M61" s="66">
        <v>99.1</v>
      </c>
      <c r="N61" s="24">
        <v>71.900000000000006</v>
      </c>
      <c r="O61" s="62">
        <v>87.442500000000024</v>
      </c>
      <c r="P61" s="377">
        <v>1020.4438960143</v>
      </c>
      <c r="Q61" s="21">
        <v>1016.66399281367</v>
      </c>
      <c r="R61" s="383">
        <v>1018.4616572445144</v>
      </c>
      <c r="S61" s="54">
        <v>2.4000000019200001</v>
      </c>
      <c r="T61" s="25">
        <v>1.5500000012400001</v>
      </c>
      <c r="U61" s="25">
        <v>0.45287691223411236</v>
      </c>
      <c r="V61" s="175" t="s">
        <v>209</v>
      </c>
      <c r="W61" s="198"/>
      <c r="X61" s="26">
        <v>0</v>
      </c>
      <c r="Y61" s="27">
        <v>0</v>
      </c>
      <c r="Z61" s="28">
        <v>0</v>
      </c>
      <c r="AA61" s="396">
        <v>0</v>
      </c>
      <c r="AB61" s="261" t="s">
        <v>261</v>
      </c>
      <c r="AC61" s="200"/>
    </row>
    <row r="62" spans="1:29" s="362" customFormat="1" ht="15" thickBot="1" x14ac:dyDescent="0.35">
      <c r="A62" s="371">
        <v>45351</v>
      </c>
      <c r="B62" s="38">
        <v>0.6</v>
      </c>
      <c r="C62" s="22">
        <v>16.5</v>
      </c>
      <c r="D62" s="22">
        <v>7</v>
      </c>
      <c r="E62" s="22">
        <v>17.399999999999999</v>
      </c>
      <c r="F62" s="22">
        <v>0.6</v>
      </c>
      <c r="G62" s="22">
        <f t="shared" si="0"/>
        <v>16.799999999999997</v>
      </c>
      <c r="H62" s="22">
        <f t="shared" si="2"/>
        <v>7.7750000000000004</v>
      </c>
      <c r="I62" s="61">
        <v>8.0768055555555502</v>
      </c>
      <c r="J62" s="166">
        <v>11</v>
      </c>
      <c r="K62" s="22">
        <v>0.1</v>
      </c>
      <c r="L62" s="256">
        <v>5.4719444444444427</v>
      </c>
      <c r="M62" s="67">
        <v>99.4</v>
      </c>
      <c r="N62" s="52">
        <v>60.5</v>
      </c>
      <c r="O62" s="63">
        <v>85.050416666666734</v>
      </c>
      <c r="P62" s="381">
        <v>1021.7078959512201</v>
      </c>
      <c r="Q62" s="53">
        <v>1014.98272936363</v>
      </c>
      <c r="R62" s="388">
        <v>1018.5484825125818</v>
      </c>
      <c r="S62" s="56">
        <v>3.4000000027200001</v>
      </c>
      <c r="T62" s="39">
        <v>2.1400000017119996</v>
      </c>
      <c r="U62" s="39">
        <v>0.5673304373353435</v>
      </c>
      <c r="V62" s="176" t="s">
        <v>209</v>
      </c>
      <c r="W62" s="199"/>
      <c r="X62" s="40">
        <v>0</v>
      </c>
      <c r="Y62" s="41">
        <v>0</v>
      </c>
      <c r="Z62" s="42">
        <v>0</v>
      </c>
      <c r="AA62" s="399">
        <v>0</v>
      </c>
      <c r="AB62" s="262" t="s">
        <v>262</v>
      </c>
      <c r="AC62" s="404"/>
    </row>
    <row r="63" spans="1:29" s="326" customFormat="1" x14ac:dyDescent="0.3">
      <c r="A63" s="370">
        <v>45352</v>
      </c>
      <c r="B63" s="57">
        <v>1.5</v>
      </c>
      <c r="C63" s="29">
        <v>13.6</v>
      </c>
      <c r="D63" s="29">
        <v>9.1</v>
      </c>
      <c r="E63" s="29">
        <v>13.8</v>
      </c>
      <c r="F63" s="29">
        <v>1.5</v>
      </c>
      <c r="G63" s="58">
        <f t="shared" ref="G63:G93" si="3">E63-F63</f>
        <v>12.3</v>
      </c>
      <c r="H63" s="58">
        <f>(B63+C63+2*D63)/4</f>
        <v>8.3249999999999993</v>
      </c>
      <c r="I63" s="65">
        <v>7.3718092566619893</v>
      </c>
      <c r="J63" s="366">
        <v>9.3000000000000007</v>
      </c>
      <c r="K63" s="29">
        <v>1.1000000000000001</v>
      </c>
      <c r="L63" s="58">
        <v>5.1194249649369006</v>
      </c>
      <c r="M63" s="90">
        <v>98.9</v>
      </c>
      <c r="N63" s="30">
        <v>62.8</v>
      </c>
      <c r="O63" s="87">
        <v>86.625175315568001</v>
      </c>
      <c r="P63" s="376">
        <v>1014.99989834286</v>
      </c>
      <c r="Q63" s="31">
        <v>1010.41949720379</v>
      </c>
      <c r="R63" s="382">
        <v>1012.248751615458</v>
      </c>
      <c r="S63" s="89">
        <v>8.2000000065599998</v>
      </c>
      <c r="T63" s="32">
        <v>5.3033333375760003</v>
      </c>
      <c r="U63" s="32">
        <v>0.82472324789225837</v>
      </c>
      <c r="V63" s="174" t="s">
        <v>209</v>
      </c>
      <c r="W63" s="363" t="s">
        <v>239</v>
      </c>
      <c r="X63" s="84">
        <v>0</v>
      </c>
      <c r="Y63" s="85">
        <v>0</v>
      </c>
      <c r="Z63" s="86">
        <v>0</v>
      </c>
      <c r="AA63" s="393">
        <v>0</v>
      </c>
      <c r="AB63" s="259" t="s">
        <v>251</v>
      </c>
      <c r="AC63" s="401"/>
    </row>
    <row r="64" spans="1:29" s="20" customFormat="1" x14ac:dyDescent="0.3">
      <c r="A64" s="370">
        <v>45353</v>
      </c>
      <c r="B64" s="37">
        <v>4.9000000000000004</v>
      </c>
      <c r="C64" s="14">
        <v>14.9</v>
      </c>
      <c r="D64" s="14">
        <v>7.7</v>
      </c>
      <c r="E64" s="14">
        <v>15.7</v>
      </c>
      <c r="F64" s="14">
        <v>4.8</v>
      </c>
      <c r="G64" s="58">
        <f t="shared" si="3"/>
        <v>10.899999999999999</v>
      </c>
      <c r="H64" s="58">
        <f t="shared" ref="H64:H91" si="4">(B64+C64+2*D64)/4</f>
        <v>8.8000000000000007</v>
      </c>
      <c r="I64" s="60">
        <v>8.9354166666666686</v>
      </c>
      <c r="J64" s="165">
        <v>8.6999999999999993</v>
      </c>
      <c r="K64" s="14">
        <v>4.0999999999999996</v>
      </c>
      <c r="L64" s="50">
        <v>6.2302777777777916</v>
      </c>
      <c r="M64" s="66">
        <v>97</v>
      </c>
      <c r="N64" s="24">
        <v>59.2</v>
      </c>
      <c r="O64" s="62">
        <v>84.363888888888894</v>
      </c>
      <c r="P64" s="377">
        <v>1012.03909952203</v>
      </c>
      <c r="Q64" s="21">
        <v>1009.8819444644701</v>
      </c>
      <c r="R64" s="383">
        <v>1010.8452595543156</v>
      </c>
      <c r="S64" s="54">
        <v>3.4000000027200001</v>
      </c>
      <c r="T64" s="47">
        <v>2.3766666685680002</v>
      </c>
      <c r="U64" s="25">
        <v>0.64814526640697123</v>
      </c>
      <c r="V64" s="175" t="s">
        <v>209</v>
      </c>
      <c r="W64" s="196"/>
      <c r="X64" s="16">
        <v>0</v>
      </c>
      <c r="Y64" s="17">
        <v>0</v>
      </c>
      <c r="Z64" s="18">
        <v>0</v>
      </c>
      <c r="AA64" s="394">
        <v>0</v>
      </c>
      <c r="AB64" s="260" t="s">
        <v>216</v>
      </c>
      <c r="AC64" s="200"/>
    </row>
    <row r="65" spans="1:29" s="20" customFormat="1" x14ac:dyDescent="0.3">
      <c r="A65" s="370">
        <v>45354</v>
      </c>
      <c r="B65" s="37">
        <v>5.8</v>
      </c>
      <c r="C65" s="14">
        <v>13.6</v>
      </c>
      <c r="D65" s="14">
        <v>11</v>
      </c>
      <c r="E65" s="14">
        <v>14.8</v>
      </c>
      <c r="F65" s="14">
        <v>4.2</v>
      </c>
      <c r="G65" s="58">
        <f t="shared" si="3"/>
        <v>10.600000000000001</v>
      </c>
      <c r="H65" s="58">
        <f t="shared" si="4"/>
        <v>10.35</v>
      </c>
      <c r="I65" s="60">
        <v>9.6752083333333285</v>
      </c>
      <c r="J65" s="165">
        <v>10.1</v>
      </c>
      <c r="K65" s="14">
        <v>3.5</v>
      </c>
      <c r="L65" s="50">
        <v>6.8788888888888744</v>
      </c>
      <c r="M65" s="66">
        <v>97</v>
      </c>
      <c r="N65" s="24">
        <v>65.7</v>
      </c>
      <c r="O65" s="62">
        <v>83.558541666666699</v>
      </c>
      <c r="P65" s="377">
        <v>1011.9968916253</v>
      </c>
      <c r="Q65" s="21">
        <v>1008.15496966049</v>
      </c>
      <c r="R65" s="383">
        <v>1009.8541272183912</v>
      </c>
      <c r="S65" s="54">
        <v>7.5000000059999996</v>
      </c>
      <c r="T65" s="47">
        <v>4.728333337116001</v>
      </c>
      <c r="U65" s="25">
        <v>1.7044082139239105</v>
      </c>
      <c r="V65" s="175" t="s">
        <v>208</v>
      </c>
      <c r="W65" s="196"/>
      <c r="X65" s="16">
        <v>0</v>
      </c>
      <c r="Y65" s="17">
        <v>0</v>
      </c>
      <c r="Z65" s="18">
        <v>0</v>
      </c>
      <c r="AA65" s="394">
        <v>0</v>
      </c>
      <c r="AB65" s="260" t="s">
        <v>258</v>
      </c>
      <c r="AC65" s="200"/>
    </row>
    <row r="66" spans="1:29" s="20" customFormat="1" x14ac:dyDescent="0.3">
      <c r="A66" s="370">
        <v>45355</v>
      </c>
      <c r="B66" s="37">
        <v>5.3</v>
      </c>
      <c r="C66" s="14">
        <v>16.2</v>
      </c>
      <c r="D66" s="14">
        <v>5.6</v>
      </c>
      <c r="E66" s="14">
        <v>16.3</v>
      </c>
      <c r="F66" s="14">
        <v>3.4</v>
      </c>
      <c r="G66" s="58">
        <f t="shared" si="3"/>
        <v>12.9</v>
      </c>
      <c r="H66" s="58">
        <f t="shared" si="4"/>
        <v>8.1750000000000007</v>
      </c>
      <c r="I66" s="60">
        <v>8.9293749999999861</v>
      </c>
      <c r="J66" s="165">
        <v>9.9</v>
      </c>
      <c r="K66" s="14">
        <v>2.6</v>
      </c>
      <c r="L66" s="50">
        <v>6.0972916666666901</v>
      </c>
      <c r="M66" s="66">
        <v>97.4</v>
      </c>
      <c r="N66" s="24">
        <v>61.1</v>
      </c>
      <c r="O66" s="62">
        <v>83.650555555555272</v>
      </c>
      <c r="P66" s="377">
        <v>1010.09385492001</v>
      </c>
      <c r="Q66" s="21">
        <v>1006.7981510058</v>
      </c>
      <c r="R66" s="383">
        <v>1008.6306379815099</v>
      </c>
      <c r="S66" s="55">
        <v>7.5000000059999996</v>
      </c>
      <c r="T66" s="48">
        <v>5.7466666712640002</v>
      </c>
      <c r="U66" s="19">
        <v>1.4593183477954481</v>
      </c>
      <c r="V66" s="175" t="s">
        <v>209</v>
      </c>
      <c r="W66" s="197"/>
      <c r="X66" s="16">
        <v>0</v>
      </c>
      <c r="Y66" s="17">
        <v>0</v>
      </c>
      <c r="Z66" s="18">
        <v>0</v>
      </c>
      <c r="AA66" s="394">
        <v>0</v>
      </c>
      <c r="AB66" s="260" t="s">
        <v>265</v>
      </c>
      <c r="AC66" s="200"/>
    </row>
    <row r="67" spans="1:29" s="20" customFormat="1" x14ac:dyDescent="0.3">
      <c r="A67" s="370">
        <v>45356</v>
      </c>
      <c r="B67" s="37">
        <v>4.2</v>
      </c>
      <c r="C67" s="14">
        <v>16.3</v>
      </c>
      <c r="D67" s="14">
        <v>6.8</v>
      </c>
      <c r="E67" s="14">
        <v>17</v>
      </c>
      <c r="F67" s="14">
        <v>3.4</v>
      </c>
      <c r="G67" s="58">
        <f t="shared" si="3"/>
        <v>13.6</v>
      </c>
      <c r="H67" s="58">
        <f t="shared" si="4"/>
        <v>8.5250000000000004</v>
      </c>
      <c r="I67" s="60">
        <v>8.1898611111111084</v>
      </c>
      <c r="J67" s="165">
        <v>11.3</v>
      </c>
      <c r="K67" s="14">
        <v>2.7</v>
      </c>
      <c r="L67" s="50">
        <v>6.2601388888888803</v>
      </c>
      <c r="M67" s="66">
        <v>98.2</v>
      </c>
      <c r="N67" s="24">
        <v>63.5</v>
      </c>
      <c r="O67" s="62">
        <v>88.651319444444397</v>
      </c>
      <c r="P67" s="377">
        <v>1015.85294208589</v>
      </c>
      <c r="Q67" s="21">
        <v>1008.08949878233</v>
      </c>
      <c r="R67" s="383">
        <v>1011.0014968815713</v>
      </c>
      <c r="S67" s="54">
        <v>6.10000000488</v>
      </c>
      <c r="T67" s="47">
        <v>3.9733333365120003</v>
      </c>
      <c r="U67" s="25">
        <v>1.0392614196846599</v>
      </c>
      <c r="V67" s="175" t="s">
        <v>209</v>
      </c>
      <c r="W67" s="197" t="s">
        <v>264</v>
      </c>
      <c r="X67" s="16">
        <v>54</v>
      </c>
      <c r="Y67" s="17">
        <v>11</v>
      </c>
      <c r="Z67" s="18">
        <v>0</v>
      </c>
      <c r="AA67" s="394">
        <v>0</v>
      </c>
      <c r="AB67" s="260" t="s">
        <v>274</v>
      </c>
      <c r="AC67" s="200"/>
    </row>
    <row r="68" spans="1:29" s="20" customFormat="1" x14ac:dyDescent="0.3">
      <c r="A68" s="370">
        <v>45357</v>
      </c>
      <c r="B68" s="37">
        <v>5</v>
      </c>
      <c r="C68" s="14">
        <v>5.9</v>
      </c>
      <c r="D68" s="14">
        <v>5.2</v>
      </c>
      <c r="E68" s="14">
        <v>6.2</v>
      </c>
      <c r="F68" s="14">
        <v>3.4</v>
      </c>
      <c r="G68" s="58">
        <f t="shared" si="3"/>
        <v>2.8000000000000003</v>
      </c>
      <c r="H68" s="58">
        <f t="shared" si="4"/>
        <v>5.3250000000000002</v>
      </c>
      <c r="I68" s="60">
        <v>5.2143055555555602</v>
      </c>
      <c r="J68" s="165">
        <v>5</v>
      </c>
      <c r="K68" s="14">
        <v>2.1</v>
      </c>
      <c r="L68" s="50">
        <v>4.0265972222222235</v>
      </c>
      <c r="M68" s="66">
        <v>95.4</v>
      </c>
      <c r="N68" s="24">
        <v>88.5</v>
      </c>
      <c r="O68" s="62">
        <v>92.060486111111203</v>
      </c>
      <c r="P68" s="377">
        <v>1018.52623117212</v>
      </c>
      <c r="Q68" s="21">
        <v>1015.69087154741</v>
      </c>
      <c r="R68" s="383">
        <v>1017.0830320827137</v>
      </c>
      <c r="S68" s="54">
        <v>7.8000000062400003</v>
      </c>
      <c r="T68" s="47">
        <v>4.1100000032879995</v>
      </c>
      <c r="U68" s="25">
        <v>1.7801184447405087</v>
      </c>
      <c r="V68" s="175" t="s">
        <v>209</v>
      </c>
      <c r="W68" s="197" t="s">
        <v>214</v>
      </c>
      <c r="X68" s="16">
        <v>6</v>
      </c>
      <c r="Y68" s="17">
        <v>0.5</v>
      </c>
      <c r="Z68" s="18">
        <v>0</v>
      </c>
      <c r="AA68" s="394">
        <v>0</v>
      </c>
      <c r="AB68" s="260" t="s">
        <v>215</v>
      </c>
      <c r="AC68" s="200"/>
    </row>
    <row r="69" spans="1:29" s="20" customFormat="1" x14ac:dyDescent="0.3">
      <c r="A69" s="370">
        <v>45358</v>
      </c>
      <c r="B69" s="37">
        <v>3.2</v>
      </c>
      <c r="C69" s="14">
        <v>5.8</v>
      </c>
      <c r="D69" s="14">
        <v>2.8</v>
      </c>
      <c r="E69" s="14">
        <v>6.2</v>
      </c>
      <c r="F69" s="14">
        <v>2.1</v>
      </c>
      <c r="G69" s="58">
        <f t="shared" si="3"/>
        <v>4.0999999999999996</v>
      </c>
      <c r="H69" s="58">
        <f t="shared" si="4"/>
        <v>3.65</v>
      </c>
      <c r="I69" s="60">
        <v>3.7765972222222191</v>
      </c>
      <c r="J69" s="165">
        <v>2.8</v>
      </c>
      <c r="K69" s="14">
        <v>-0.6</v>
      </c>
      <c r="L69" s="50">
        <v>1.4058333333333315</v>
      </c>
      <c r="M69" s="66">
        <v>91.6</v>
      </c>
      <c r="N69" s="24">
        <v>76.7</v>
      </c>
      <c r="O69" s="62">
        <v>84.584930555555715</v>
      </c>
      <c r="P69" s="377">
        <v>1022.19832050884</v>
      </c>
      <c r="Q69" s="21">
        <v>1017.51089596721</v>
      </c>
      <c r="R69" s="383">
        <v>1019.7551505647232</v>
      </c>
      <c r="S69" s="54">
        <v>7.5000000059999996</v>
      </c>
      <c r="T69" s="47">
        <v>4.9066666705920001</v>
      </c>
      <c r="U69" s="25">
        <v>2.5483139273176301</v>
      </c>
      <c r="V69" s="175" t="s">
        <v>209</v>
      </c>
      <c r="W69" s="197" t="s">
        <v>214</v>
      </c>
      <c r="X69" s="16">
        <v>6</v>
      </c>
      <c r="Y69" s="17">
        <v>0.1</v>
      </c>
      <c r="Z69" s="18">
        <v>0</v>
      </c>
      <c r="AA69" s="394">
        <v>0</v>
      </c>
      <c r="AB69" s="260" t="s">
        <v>216</v>
      </c>
      <c r="AC69" s="200"/>
    </row>
    <row r="70" spans="1:29" s="20" customFormat="1" x14ac:dyDescent="0.3">
      <c r="A70" s="370">
        <v>45359</v>
      </c>
      <c r="B70" s="37">
        <v>1.2</v>
      </c>
      <c r="C70" s="14">
        <v>6.4</v>
      </c>
      <c r="D70" s="14">
        <v>1.3</v>
      </c>
      <c r="E70" s="14">
        <v>8.5</v>
      </c>
      <c r="F70" s="14">
        <v>-2.4</v>
      </c>
      <c r="G70" s="58">
        <f t="shared" si="3"/>
        <v>10.9</v>
      </c>
      <c r="H70" s="58">
        <f t="shared" si="4"/>
        <v>2.5500000000000003</v>
      </c>
      <c r="I70" s="60">
        <v>3.0084027777777789</v>
      </c>
      <c r="J70" s="165">
        <v>3.3</v>
      </c>
      <c r="K70" s="14">
        <v>-3.5</v>
      </c>
      <c r="L70" s="50">
        <v>6.9444444444445017E-2</v>
      </c>
      <c r="M70" s="66">
        <v>92</v>
      </c>
      <c r="N70" s="24">
        <v>66.900000000000006</v>
      </c>
      <c r="O70" s="62">
        <v>81.274722222222323</v>
      </c>
      <c r="P70" s="377">
        <v>1022.14008983288</v>
      </c>
      <c r="Q70" s="21">
        <v>1018.48082545937</v>
      </c>
      <c r="R70" s="383">
        <v>1020.4747610559616</v>
      </c>
      <c r="S70" s="54">
        <v>4.4000000035199998</v>
      </c>
      <c r="T70" s="47">
        <v>3.0366666690959998</v>
      </c>
      <c r="U70" s="25">
        <v>1.3911650965927471</v>
      </c>
      <c r="V70" s="175" t="s">
        <v>210</v>
      </c>
      <c r="W70" s="197"/>
      <c r="X70" s="16">
        <v>0</v>
      </c>
      <c r="Y70" s="17">
        <v>0</v>
      </c>
      <c r="Z70" s="18">
        <v>0</v>
      </c>
      <c r="AA70" s="394">
        <v>0</v>
      </c>
      <c r="AB70" s="260" t="s">
        <v>252</v>
      </c>
      <c r="AC70" s="200"/>
    </row>
    <row r="71" spans="1:29" s="20" customFormat="1" x14ac:dyDescent="0.3">
      <c r="A71" s="370">
        <v>45360</v>
      </c>
      <c r="B71" s="37">
        <v>-1.4</v>
      </c>
      <c r="C71" s="14">
        <v>9</v>
      </c>
      <c r="D71" s="14">
        <v>1.7</v>
      </c>
      <c r="E71" s="14">
        <v>10.5</v>
      </c>
      <c r="F71" s="14">
        <v>-3.5</v>
      </c>
      <c r="G71" s="58">
        <f t="shared" si="3"/>
        <v>14</v>
      </c>
      <c r="H71" s="58">
        <f t="shared" si="4"/>
        <v>2.75</v>
      </c>
      <c r="I71" s="60">
        <v>2.3885416666666761</v>
      </c>
      <c r="J71" s="165">
        <v>4.5999999999999996</v>
      </c>
      <c r="K71" s="14">
        <v>-4.4000000000000004</v>
      </c>
      <c r="L71" s="50">
        <v>0.31805555555555348</v>
      </c>
      <c r="M71" s="66">
        <v>97.6</v>
      </c>
      <c r="N71" s="24">
        <v>62.6</v>
      </c>
      <c r="O71" s="62">
        <v>87.121249999999847</v>
      </c>
      <c r="P71" s="377">
        <v>1019.59209903199</v>
      </c>
      <c r="Q71" s="21">
        <v>1014.16020677456</v>
      </c>
      <c r="R71" s="383">
        <v>1016.8508831284653</v>
      </c>
      <c r="S71" s="54">
        <v>6.8000000054400003</v>
      </c>
      <c r="T71" s="47">
        <v>3.9366666698159998</v>
      </c>
      <c r="U71" s="25">
        <v>0.85110383377161991</v>
      </c>
      <c r="V71" s="175" t="s">
        <v>209</v>
      </c>
      <c r="W71" s="197"/>
      <c r="X71" s="16">
        <v>0</v>
      </c>
      <c r="Y71" s="17">
        <v>0</v>
      </c>
      <c r="Z71" s="18">
        <v>0</v>
      </c>
      <c r="AA71" s="394">
        <v>0</v>
      </c>
      <c r="AB71" s="260" t="s">
        <v>260</v>
      </c>
      <c r="AC71" s="200"/>
    </row>
    <row r="72" spans="1:29" s="20" customFormat="1" x14ac:dyDescent="0.3">
      <c r="A72" s="370">
        <v>45361</v>
      </c>
      <c r="B72" s="37">
        <v>-1</v>
      </c>
      <c r="C72" s="14">
        <v>8.9</v>
      </c>
      <c r="D72" s="14">
        <v>6.2</v>
      </c>
      <c r="E72" s="14">
        <v>10.7</v>
      </c>
      <c r="F72" s="14">
        <v>-1.6</v>
      </c>
      <c r="G72" s="58">
        <f t="shared" si="3"/>
        <v>12.299999999999999</v>
      </c>
      <c r="H72" s="58">
        <f t="shared" si="4"/>
        <v>5.0750000000000002</v>
      </c>
      <c r="I72" s="60">
        <v>5.134572230014026</v>
      </c>
      <c r="J72" s="165">
        <v>5.4</v>
      </c>
      <c r="K72" s="14">
        <v>-2.2000000000000002</v>
      </c>
      <c r="L72" s="50">
        <v>2.5610799438990237</v>
      </c>
      <c r="M72" s="66">
        <v>99.2</v>
      </c>
      <c r="N72" s="24">
        <v>60.9</v>
      </c>
      <c r="O72" s="62">
        <v>84.453997194950901</v>
      </c>
      <c r="P72" s="377">
        <v>1014.68475235382</v>
      </c>
      <c r="Q72" s="21">
        <v>1010.34963158164</v>
      </c>
      <c r="R72" s="383">
        <v>1012.1381686171424</v>
      </c>
      <c r="S72" s="54">
        <v>7.5000000059999996</v>
      </c>
      <c r="T72" s="47">
        <v>4.7733333371519997</v>
      </c>
      <c r="U72" s="25">
        <v>1.4285454556882953</v>
      </c>
      <c r="V72" s="175" t="s">
        <v>209</v>
      </c>
      <c r="W72" s="197" t="s">
        <v>214</v>
      </c>
      <c r="X72" s="16">
        <v>6</v>
      </c>
      <c r="Y72" s="17">
        <v>3</v>
      </c>
      <c r="Z72" s="18">
        <v>0</v>
      </c>
      <c r="AA72" s="394">
        <v>0</v>
      </c>
      <c r="AB72" s="260" t="s">
        <v>216</v>
      </c>
      <c r="AC72" s="200"/>
    </row>
    <row r="73" spans="1:29" s="20" customFormat="1" x14ac:dyDescent="0.3">
      <c r="A73" s="370">
        <v>45362</v>
      </c>
      <c r="B73" s="37">
        <v>8</v>
      </c>
      <c r="C73" s="14">
        <v>11.2</v>
      </c>
      <c r="D73" s="14">
        <v>9.5</v>
      </c>
      <c r="E73" s="14">
        <v>14.3</v>
      </c>
      <c r="F73" s="14">
        <v>5.6</v>
      </c>
      <c r="G73" s="58">
        <f t="shared" si="3"/>
        <v>8.7000000000000011</v>
      </c>
      <c r="H73" s="58">
        <f t="shared" si="4"/>
        <v>9.5500000000000007</v>
      </c>
      <c r="I73" s="60">
        <v>9.475138888888873</v>
      </c>
      <c r="J73" s="165">
        <v>10.199999999999999</v>
      </c>
      <c r="K73" s="14">
        <v>5</v>
      </c>
      <c r="L73" s="50">
        <v>7.9082638888888637</v>
      </c>
      <c r="M73" s="66">
        <v>98.3</v>
      </c>
      <c r="N73" s="24">
        <v>74.5</v>
      </c>
      <c r="O73" s="62">
        <v>90.228333333333296</v>
      </c>
      <c r="P73" s="377">
        <v>1010.8359630001599</v>
      </c>
      <c r="Q73" s="21">
        <v>1006.92659244404</v>
      </c>
      <c r="R73" s="383">
        <v>1008.6083496464099</v>
      </c>
      <c r="S73" s="54">
        <v>7.8000000062400003</v>
      </c>
      <c r="T73" s="47">
        <v>4.9066666705919992</v>
      </c>
      <c r="U73" s="25">
        <v>1.5343123048290876</v>
      </c>
      <c r="V73" s="175" t="s">
        <v>208</v>
      </c>
      <c r="W73" s="197" t="s">
        <v>214</v>
      </c>
      <c r="X73" s="16">
        <v>6</v>
      </c>
      <c r="Y73" s="17">
        <v>1.9</v>
      </c>
      <c r="Z73" s="18">
        <v>0</v>
      </c>
      <c r="AA73" s="394">
        <v>0</v>
      </c>
      <c r="AB73" s="260" t="s">
        <v>216</v>
      </c>
      <c r="AC73" s="200"/>
    </row>
    <row r="74" spans="1:29" s="20" customFormat="1" x14ac:dyDescent="0.3">
      <c r="A74" s="370">
        <v>45363</v>
      </c>
      <c r="B74" s="37">
        <v>9.6</v>
      </c>
      <c r="C74" s="14">
        <v>13.4</v>
      </c>
      <c r="D74" s="14">
        <v>9.6999999999999993</v>
      </c>
      <c r="E74" s="14">
        <v>13.9</v>
      </c>
      <c r="F74" s="14">
        <v>8</v>
      </c>
      <c r="G74" s="58">
        <f t="shared" si="3"/>
        <v>5.9</v>
      </c>
      <c r="H74" s="58">
        <f t="shared" si="4"/>
        <v>10.6</v>
      </c>
      <c r="I74" s="60">
        <v>10.466805555555531</v>
      </c>
      <c r="J74" s="165">
        <v>10.5</v>
      </c>
      <c r="K74" s="14">
        <v>7.7</v>
      </c>
      <c r="L74" s="50">
        <v>8.9951388888888619</v>
      </c>
      <c r="M74" s="66">
        <v>99.2</v>
      </c>
      <c r="N74" s="24">
        <v>74.900000000000006</v>
      </c>
      <c r="O74" s="62">
        <v>90.969097222222231</v>
      </c>
      <c r="P74" s="377">
        <v>1010.04452685538</v>
      </c>
      <c r="Q74" s="21">
        <v>1006.56673025206</v>
      </c>
      <c r="R74" s="383">
        <v>1007.8585208808654</v>
      </c>
      <c r="S74" s="54">
        <v>5.4000000043199998</v>
      </c>
      <c r="T74" s="47">
        <v>3.9833333365199999</v>
      </c>
      <c r="U74" s="25">
        <v>1.1600603874014785</v>
      </c>
      <c r="V74" s="175" t="s">
        <v>208</v>
      </c>
      <c r="W74" s="197" t="s">
        <v>214</v>
      </c>
      <c r="X74" s="16">
        <v>18</v>
      </c>
      <c r="Y74" s="17">
        <v>2.2000000000000002</v>
      </c>
      <c r="Z74" s="18">
        <v>0</v>
      </c>
      <c r="AA74" s="394">
        <v>0</v>
      </c>
      <c r="AB74" s="260" t="s">
        <v>216</v>
      </c>
      <c r="AC74" s="200"/>
    </row>
    <row r="75" spans="1:29" s="20" customFormat="1" x14ac:dyDescent="0.3">
      <c r="A75" s="370">
        <v>45364</v>
      </c>
      <c r="B75" s="37">
        <v>7.6</v>
      </c>
      <c r="C75" s="14">
        <v>7.3</v>
      </c>
      <c r="D75" s="14">
        <v>4.9000000000000004</v>
      </c>
      <c r="E75" s="14">
        <v>8.1</v>
      </c>
      <c r="F75" s="14">
        <v>4.7</v>
      </c>
      <c r="G75" s="58">
        <f t="shared" si="3"/>
        <v>3.3999999999999995</v>
      </c>
      <c r="H75" s="58">
        <f t="shared" si="4"/>
        <v>6.1749999999999998</v>
      </c>
      <c r="I75" s="60">
        <v>6.8238194444444575</v>
      </c>
      <c r="J75" s="165">
        <v>7.7</v>
      </c>
      <c r="K75" s="14">
        <v>3.3</v>
      </c>
      <c r="L75" s="50">
        <v>5.2788194444444354</v>
      </c>
      <c r="M75" s="66">
        <v>97.7</v>
      </c>
      <c r="N75" s="24">
        <v>83.8</v>
      </c>
      <c r="O75" s="62">
        <v>89.957083333333401</v>
      </c>
      <c r="P75" s="377">
        <v>1016.57885685238</v>
      </c>
      <c r="Q75" s="21">
        <v>1009.56622391091</v>
      </c>
      <c r="R75" s="383">
        <v>1012.9806505232822</v>
      </c>
      <c r="S75" s="54">
        <v>8.5000000068000006</v>
      </c>
      <c r="T75" s="47">
        <v>4.5366666702959995</v>
      </c>
      <c r="U75" s="25">
        <v>1.8956389713901696</v>
      </c>
      <c r="V75" s="175" t="s">
        <v>210</v>
      </c>
      <c r="W75" s="198" t="s">
        <v>214</v>
      </c>
      <c r="X75" s="26">
        <v>6</v>
      </c>
      <c r="Y75" s="27">
        <v>0.4</v>
      </c>
      <c r="Z75" s="28">
        <v>0</v>
      </c>
      <c r="AA75" s="396">
        <v>0</v>
      </c>
      <c r="AB75" s="261" t="s">
        <v>216</v>
      </c>
      <c r="AC75" s="200"/>
    </row>
    <row r="76" spans="1:29" s="20" customFormat="1" x14ac:dyDescent="0.3">
      <c r="A76" s="370">
        <v>45365</v>
      </c>
      <c r="B76" s="37">
        <v>4.5999999999999996</v>
      </c>
      <c r="C76" s="14">
        <v>8.5</v>
      </c>
      <c r="D76" s="14">
        <v>5.7</v>
      </c>
      <c r="E76" s="14">
        <v>10.4</v>
      </c>
      <c r="F76" s="14">
        <v>1.5</v>
      </c>
      <c r="G76" s="58">
        <f t="shared" si="3"/>
        <v>8.9</v>
      </c>
      <c r="H76" s="58">
        <f t="shared" si="4"/>
        <v>6.125</v>
      </c>
      <c r="I76" s="60">
        <v>6.07125</v>
      </c>
      <c r="J76" s="165">
        <v>6.8</v>
      </c>
      <c r="K76" s="14">
        <v>0.1</v>
      </c>
      <c r="L76" s="50">
        <v>3.6025000000000014</v>
      </c>
      <c r="M76" s="66">
        <v>92.8</v>
      </c>
      <c r="N76" s="24">
        <v>72</v>
      </c>
      <c r="O76" s="62">
        <v>84.414861111111108</v>
      </c>
      <c r="P76" s="377">
        <v>1017.3497744628201</v>
      </c>
      <c r="Q76" s="21">
        <v>1015.58081262165</v>
      </c>
      <c r="R76" s="383">
        <v>1016.5592130180945</v>
      </c>
      <c r="S76" s="54">
        <v>7.1000000056800001</v>
      </c>
      <c r="T76" s="47">
        <v>5.0000000039999994</v>
      </c>
      <c r="U76" s="25">
        <v>2.1888204030079996</v>
      </c>
      <c r="V76" s="175" t="s">
        <v>209</v>
      </c>
      <c r="W76" s="198" t="s">
        <v>239</v>
      </c>
      <c r="X76" s="26">
        <v>0</v>
      </c>
      <c r="Y76" s="27">
        <v>0</v>
      </c>
      <c r="Z76" s="28">
        <v>0</v>
      </c>
      <c r="AA76" s="396">
        <v>0</v>
      </c>
      <c r="AB76" s="260" t="s">
        <v>252</v>
      </c>
      <c r="AC76" s="200"/>
    </row>
    <row r="77" spans="1:29" s="20" customFormat="1" x14ac:dyDescent="0.3">
      <c r="A77" s="370">
        <v>45366</v>
      </c>
      <c r="B77" s="37">
        <v>0.3</v>
      </c>
      <c r="C77" s="14">
        <v>14.8</v>
      </c>
      <c r="D77" s="14">
        <v>6.3</v>
      </c>
      <c r="E77" s="14">
        <v>15.9</v>
      </c>
      <c r="F77" s="14">
        <v>-0.4</v>
      </c>
      <c r="G77" s="58">
        <f t="shared" si="3"/>
        <v>16.3</v>
      </c>
      <c r="H77" s="58">
        <f t="shared" si="4"/>
        <v>6.9250000000000007</v>
      </c>
      <c r="I77" s="60">
        <v>6.6184027777777867</v>
      </c>
      <c r="J77" s="165">
        <v>7.3</v>
      </c>
      <c r="K77" s="14">
        <v>-1.1000000000000001</v>
      </c>
      <c r="L77" s="50">
        <v>3.201388888888884</v>
      </c>
      <c r="M77" s="66">
        <v>97.3</v>
      </c>
      <c r="N77" s="24">
        <v>51</v>
      </c>
      <c r="O77" s="62">
        <v>80.631249999999994</v>
      </c>
      <c r="P77" s="377">
        <v>1017.36578313881</v>
      </c>
      <c r="Q77" s="21">
        <v>1013.29257505568</v>
      </c>
      <c r="R77" s="383">
        <v>1015.7147813223133</v>
      </c>
      <c r="S77" s="54">
        <v>5.4000000043199998</v>
      </c>
      <c r="T77" s="47">
        <v>3.3366666693359996</v>
      </c>
      <c r="U77" s="25">
        <v>1.0153668618424216</v>
      </c>
      <c r="V77" s="175" t="s">
        <v>208</v>
      </c>
      <c r="W77" s="198" t="s">
        <v>239</v>
      </c>
      <c r="X77" s="26">
        <v>0</v>
      </c>
      <c r="Y77" s="27">
        <v>0</v>
      </c>
      <c r="Z77" s="28">
        <v>0</v>
      </c>
      <c r="AA77" s="396">
        <v>0</v>
      </c>
      <c r="AB77" s="261" t="s">
        <v>241</v>
      </c>
      <c r="AC77" s="200"/>
    </row>
    <row r="78" spans="1:29" s="20" customFormat="1" x14ac:dyDescent="0.3">
      <c r="A78" s="370">
        <v>45367</v>
      </c>
      <c r="B78" s="37">
        <v>-0.7</v>
      </c>
      <c r="C78" s="14">
        <v>13.2</v>
      </c>
      <c r="D78" s="14">
        <v>9.1999999999999993</v>
      </c>
      <c r="E78" s="14">
        <v>13.5</v>
      </c>
      <c r="F78" s="14">
        <v>-1</v>
      </c>
      <c r="G78" s="58">
        <f t="shared" si="3"/>
        <v>14.5</v>
      </c>
      <c r="H78" s="58">
        <f t="shared" si="4"/>
        <v>7.7249999999999996</v>
      </c>
      <c r="I78" s="60">
        <v>6.8540277777777554</v>
      </c>
      <c r="J78" s="165">
        <v>8.6999999999999993</v>
      </c>
      <c r="K78" s="14">
        <v>-1.6</v>
      </c>
      <c r="L78" s="50">
        <v>4.3307638888888871</v>
      </c>
      <c r="M78" s="66">
        <v>98.7</v>
      </c>
      <c r="N78" s="24">
        <v>66.2</v>
      </c>
      <c r="O78" s="62">
        <v>84.939236111110944</v>
      </c>
      <c r="P78" s="377">
        <v>1017.6657672416</v>
      </c>
      <c r="Q78" s="21">
        <v>1014.45869985972</v>
      </c>
      <c r="R78" s="383">
        <v>1016.2888294966026</v>
      </c>
      <c r="S78" s="54">
        <v>6.10000000488</v>
      </c>
      <c r="T78" s="47">
        <v>4.2366666700560005</v>
      </c>
      <c r="U78" s="25">
        <v>0.97047101526913915</v>
      </c>
      <c r="V78" s="175" t="s">
        <v>209</v>
      </c>
      <c r="W78" s="198" t="s">
        <v>214</v>
      </c>
      <c r="X78" s="26">
        <v>6</v>
      </c>
      <c r="Y78" s="27">
        <v>1.3</v>
      </c>
      <c r="Z78" s="28">
        <v>0</v>
      </c>
      <c r="AA78" s="396">
        <v>0</v>
      </c>
      <c r="AB78" s="261" t="s">
        <v>252</v>
      </c>
      <c r="AC78" s="200"/>
    </row>
    <row r="79" spans="1:29" s="20" customFormat="1" x14ac:dyDescent="0.3">
      <c r="A79" s="370">
        <v>45368</v>
      </c>
      <c r="B79" s="37">
        <v>6</v>
      </c>
      <c r="C79" s="14">
        <v>13.8</v>
      </c>
      <c r="D79" s="14">
        <v>3.4</v>
      </c>
      <c r="E79" s="14">
        <v>14.1</v>
      </c>
      <c r="F79" s="14">
        <v>-0.5</v>
      </c>
      <c r="G79" s="58">
        <f t="shared" si="3"/>
        <v>14.6</v>
      </c>
      <c r="H79" s="58">
        <f t="shared" si="4"/>
        <v>6.65</v>
      </c>
      <c r="I79" s="60">
        <v>7.2488888888889136</v>
      </c>
      <c r="J79" s="165">
        <v>6.7</v>
      </c>
      <c r="K79" s="14">
        <v>-2.2000000000000002</v>
      </c>
      <c r="L79" s="50">
        <v>2.7922916666666668</v>
      </c>
      <c r="M79" s="66">
        <v>98</v>
      </c>
      <c r="N79" s="24">
        <v>42</v>
      </c>
      <c r="O79" s="62">
        <v>75.830833333333246</v>
      </c>
      <c r="P79" s="377">
        <v>1019.70987466927</v>
      </c>
      <c r="Q79" s="21">
        <v>1015.9893865210699</v>
      </c>
      <c r="R79" s="383">
        <v>1017.8623982504835</v>
      </c>
      <c r="S79" s="54">
        <v>7.8000000062400003</v>
      </c>
      <c r="T79" s="47">
        <v>4.3000000034400001</v>
      </c>
      <c r="U79" s="25">
        <v>1.5839995167710705</v>
      </c>
      <c r="V79" s="175" t="s">
        <v>209</v>
      </c>
      <c r="W79" s="198" t="s">
        <v>239</v>
      </c>
      <c r="X79" s="26">
        <v>0</v>
      </c>
      <c r="Y79" s="27">
        <v>0</v>
      </c>
      <c r="Z79" s="28">
        <v>0</v>
      </c>
      <c r="AA79" s="396">
        <v>0</v>
      </c>
      <c r="AB79" s="261" t="s">
        <v>255</v>
      </c>
      <c r="AC79" s="200"/>
    </row>
    <row r="80" spans="1:29" s="20" customFormat="1" x14ac:dyDescent="0.3">
      <c r="A80" s="370">
        <v>45369</v>
      </c>
      <c r="B80" s="37">
        <v>1.8</v>
      </c>
      <c r="C80" s="14">
        <v>6.5</v>
      </c>
      <c r="D80" s="14">
        <v>0.4</v>
      </c>
      <c r="E80" s="14">
        <v>7.7</v>
      </c>
      <c r="F80" s="14">
        <v>-0.9</v>
      </c>
      <c r="G80" s="58">
        <f t="shared" si="3"/>
        <v>8.6</v>
      </c>
      <c r="H80" s="58">
        <f t="shared" si="4"/>
        <v>2.2750000000000004</v>
      </c>
      <c r="I80" s="60">
        <v>2.3813888888888921</v>
      </c>
      <c r="J80" s="165">
        <v>1.3</v>
      </c>
      <c r="K80" s="14">
        <v>-3.9</v>
      </c>
      <c r="L80" s="50">
        <v>-1.7913194444444485</v>
      </c>
      <c r="M80" s="66">
        <v>91.6</v>
      </c>
      <c r="N80" s="24">
        <v>56.4</v>
      </c>
      <c r="O80" s="62">
        <v>74.540902777777859</v>
      </c>
      <c r="P80" s="377">
        <v>1018.7600599318901</v>
      </c>
      <c r="Q80" s="21">
        <v>1015.86993633233</v>
      </c>
      <c r="R80" s="383">
        <v>1017.4610693640791</v>
      </c>
      <c r="S80" s="54">
        <v>8.2000000065599998</v>
      </c>
      <c r="T80" s="47">
        <v>5.8933333380480004</v>
      </c>
      <c r="U80" s="25">
        <v>2.1325796272834929</v>
      </c>
      <c r="V80" s="175" t="s">
        <v>209</v>
      </c>
      <c r="W80" s="198" t="s">
        <v>221</v>
      </c>
      <c r="X80" s="26">
        <v>6</v>
      </c>
      <c r="Y80" s="27">
        <v>0.7</v>
      </c>
      <c r="Z80" s="28">
        <v>0</v>
      </c>
      <c r="AA80" s="396">
        <v>0</v>
      </c>
      <c r="AB80" s="261" t="s">
        <v>258</v>
      </c>
      <c r="AC80" s="200"/>
    </row>
    <row r="81" spans="1:29" s="20" customFormat="1" x14ac:dyDescent="0.3">
      <c r="A81" s="370">
        <v>45370</v>
      </c>
      <c r="B81" s="37">
        <v>0.4</v>
      </c>
      <c r="C81" s="14">
        <v>9.5</v>
      </c>
      <c r="D81" s="14">
        <v>5.0999999999999996</v>
      </c>
      <c r="E81" s="14">
        <v>9.9</v>
      </c>
      <c r="F81" s="14">
        <v>-0.7</v>
      </c>
      <c r="G81" s="58">
        <f t="shared" si="3"/>
        <v>10.6</v>
      </c>
      <c r="H81" s="58">
        <f t="shared" si="4"/>
        <v>5.0250000000000004</v>
      </c>
      <c r="I81" s="60">
        <v>4.1793055555555574</v>
      </c>
      <c r="J81" s="165">
        <v>3.1</v>
      </c>
      <c r="K81" s="14">
        <v>-3</v>
      </c>
      <c r="L81" s="50">
        <v>-0.13409722222222317</v>
      </c>
      <c r="M81" s="66">
        <v>95.4</v>
      </c>
      <c r="N81" s="24">
        <v>55</v>
      </c>
      <c r="O81" s="62">
        <v>74.544722222222248</v>
      </c>
      <c r="P81" s="377">
        <v>1022.37392488962</v>
      </c>
      <c r="Q81" s="21">
        <v>1017.94951327245</v>
      </c>
      <c r="R81" s="383">
        <v>1019.7364276607379</v>
      </c>
      <c r="S81" s="54">
        <v>8.8000000070399995</v>
      </c>
      <c r="T81" s="47">
        <v>5.2166666708399996</v>
      </c>
      <c r="U81" s="25">
        <v>1.8029027590620565</v>
      </c>
      <c r="V81" s="175" t="s">
        <v>209</v>
      </c>
      <c r="W81" s="198"/>
      <c r="X81" s="26">
        <v>0</v>
      </c>
      <c r="Y81" s="27">
        <v>0</v>
      </c>
      <c r="Z81" s="28">
        <v>0</v>
      </c>
      <c r="AA81" s="396">
        <v>0</v>
      </c>
      <c r="AB81" s="261" t="s">
        <v>258</v>
      </c>
      <c r="AC81" s="200"/>
    </row>
    <row r="82" spans="1:29" s="20" customFormat="1" x14ac:dyDescent="0.3">
      <c r="A82" s="370">
        <v>45371</v>
      </c>
      <c r="B82" s="37">
        <v>1.5</v>
      </c>
      <c r="C82" s="14">
        <v>14.5</v>
      </c>
      <c r="D82" s="14">
        <v>3.7</v>
      </c>
      <c r="E82" s="14">
        <v>15.1</v>
      </c>
      <c r="F82" s="14">
        <v>-0.3</v>
      </c>
      <c r="G82" s="58">
        <f t="shared" si="3"/>
        <v>15.4</v>
      </c>
      <c r="H82" s="58">
        <f t="shared" si="4"/>
        <v>5.85</v>
      </c>
      <c r="I82" s="60">
        <v>6.096180555555561</v>
      </c>
      <c r="J82" s="165">
        <v>5</v>
      </c>
      <c r="K82" s="14">
        <v>-2</v>
      </c>
      <c r="L82" s="50">
        <v>0.9242361111111097</v>
      </c>
      <c r="M82" s="66">
        <v>90.7</v>
      </c>
      <c r="N82" s="24">
        <v>43.8</v>
      </c>
      <c r="O82" s="62">
        <v>71.661527777777806</v>
      </c>
      <c r="P82" s="377">
        <v>1023.11122410088</v>
      </c>
      <c r="Q82" s="21">
        <v>1018.10169865737</v>
      </c>
      <c r="R82" s="383">
        <v>1021.0421252788429</v>
      </c>
      <c r="S82" s="54">
        <v>4.4000000035199998</v>
      </c>
      <c r="T82" s="47">
        <v>2.4033333352559998</v>
      </c>
      <c r="U82" s="25">
        <v>0.7828730626418029</v>
      </c>
      <c r="V82" s="175" t="s">
        <v>209</v>
      </c>
      <c r="W82" s="198"/>
      <c r="X82" s="26">
        <v>0</v>
      </c>
      <c r="Y82" s="27">
        <v>0</v>
      </c>
      <c r="Z82" s="28">
        <v>0</v>
      </c>
      <c r="AA82" s="396">
        <v>0</v>
      </c>
      <c r="AB82" s="261" t="s">
        <v>265</v>
      </c>
      <c r="AC82" s="200"/>
    </row>
    <row r="83" spans="1:29" s="20" customFormat="1" x14ac:dyDescent="0.3">
      <c r="A83" s="370">
        <v>45372</v>
      </c>
      <c r="B83" s="37">
        <v>-1.7</v>
      </c>
      <c r="C83" s="14">
        <v>15.3</v>
      </c>
      <c r="D83" s="14">
        <v>4.8</v>
      </c>
      <c r="E83" s="14">
        <v>16.7</v>
      </c>
      <c r="F83" s="14">
        <v>-2.8</v>
      </c>
      <c r="G83" s="58">
        <f t="shared" si="3"/>
        <v>19.5</v>
      </c>
      <c r="H83" s="58">
        <f t="shared" si="4"/>
        <v>5.8000000000000007</v>
      </c>
      <c r="I83" s="60">
        <v>6.290069444444442</v>
      </c>
      <c r="J83" s="165">
        <v>6.3</v>
      </c>
      <c r="K83" s="14">
        <v>-3.8</v>
      </c>
      <c r="L83" s="50">
        <v>0.59277777777777796</v>
      </c>
      <c r="M83" s="66">
        <v>96.6</v>
      </c>
      <c r="N83" s="24">
        <v>38.4</v>
      </c>
      <c r="O83" s="62">
        <v>70.405486111111074</v>
      </c>
      <c r="P83" s="377">
        <v>1021.65538741235</v>
      </c>
      <c r="Q83" s="21">
        <v>1015.8882034376199</v>
      </c>
      <c r="R83" s="383">
        <v>1019.110777992263</v>
      </c>
      <c r="S83" s="54">
        <v>6.8000000054400003</v>
      </c>
      <c r="T83" s="47">
        <v>3.013333335744</v>
      </c>
      <c r="U83" s="25">
        <v>0.85578871269621304</v>
      </c>
      <c r="V83" s="175" t="s">
        <v>209</v>
      </c>
      <c r="W83" s="198" t="s">
        <v>239</v>
      </c>
      <c r="X83" s="26">
        <v>0</v>
      </c>
      <c r="Y83" s="27">
        <v>0</v>
      </c>
      <c r="Z83" s="28">
        <v>0</v>
      </c>
      <c r="AA83" s="396">
        <v>0</v>
      </c>
      <c r="AB83" s="261" t="s">
        <v>258</v>
      </c>
      <c r="AC83" s="200"/>
    </row>
    <row r="84" spans="1:29" s="20" customFormat="1" x14ac:dyDescent="0.3">
      <c r="A84" s="370">
        <v>45373</v>
      </c>
      <c r="B84" s="37">
        <v>4.5999999999999996</v>
      </c>
      <c r="C84" s="14">
        <v>11.3</v>
      </c>
      <c r="D84" s="14">
        <v>7.6</v>
      </c>
      <c r="E84" s="14">
        <v>11.4</v>
      </c>
      <c r="F84" s="14">
        <v>2.2000000000000002</v>
      </c>
      <c r="G84" s="58">
        <f t="shared" si="3"/>
        <v>9.1999999999999993</v>
      </c>
      <c r="H84" s="58">
        <f t="shared" si="4"/>
        <v>7.7750000000000004</v>
      </c>
      <c r="I84" s="60">
        <v>7.0770138888889038</v>
      </c>
      <c r="J84" s="165">
        <v>7.1</v>
      </c>
      <c r="K84" s="14">
        <v>0</v>
      </c>
      <c r="L84" s="50">
        <v>4.395416666666673</v>
      </c>
      <c r="M84" s="66">
        <v>93</v>
      </c>
      <c r="N84" s="24">
        <v>70.3</v>
      </c>
      <c r="O84" s="62">
        <v>83.395555555555745</v>
      </c>
      <c r="P84" s="377">
        <v>1019.45955298652</v>
      </c>
      <c r="Q84" s="21">
        <v>1012.8336242005799</v>
      </c>
      <c r="R84" s="383">
        <v>1016.8459930947945</v>
      </c>
      <c r="S84" s="54">
        <v>5.10000000408</v>
      </c>
      <c r="T84" s="47">
        <v>3.7766666696880007</v>
      </c>
      <c r="U84" s="25">
        <v>0.80557177680017134</v>
      </c>
      <c r="V84" s="175" t="s">
        <v>209</v>
      </c>
      <c r="W84" s="200" t="s">
        <v>214</v>
      </c>
      <c r="X84" s="26">
        <v>6</v>
      </c>
      <c r="Y84" s="27">
        <v>0.3</v>
      </c>
      <c r="Z84" s="28">
        <v>0</v>
      </c>
      <c r="AA84" s="396">
        <v>0</v>
      </c>
      <c r="AB84" s="261" t="s">
        <v>215</v>
      </c>
      <c r="AC84" s="200"/>
    </row>
    <row r="85" spans="1:29" s="20" customFormat="1" x14ac:dyDescent="0.3">
      <c r="A85" s="370">
        <v>45374</v>
      </c>
      <c r="B85" s="37">
        <v>6.7</v>
      </c>
      <c r="C85" s="14">
        <v>12.5</v>
      </c>
      <c r="D85" s="14">
        <v>11.5</v>
      </c>
      <c r="E85" s="14">
        <v>15.4</v>
      </c>
      <c r="F85" s="14">
        <v>5.2</v>
      </c>
      <c r="G85" s="58">
        <f t="shared" si="3"/>
        <v>10.199999999999999</v>
      </c>
      <c r="H85" s="58">
        <f t="shared" si="4"/>
        <v>10.55</v>
      </c>
      <c r="I85" s="60">
        <v>9.9950000000000117</v>
      </c>
      <c r="J85" s="165">
        <v>9.1999999999999993</v>
      </c>
      <c r="K85" s="14">
        <v>3.9</v>
      </c>
      <c r="L85" s="50">
        <v>6.4424305555555694</v>
      </c>
      <c r="M85" s="66">
        <v>91</v>
      </c>
      <c r="N85" s="24">
        <v>62.4</v>
      </c>
      <c r="O85" s="62">
        <v>79.172361111111144</v>
      </c>
      <c r="P85" s="377">
        <v>1013.1748524278599</v>
      </c>
      <c r="Q85" s="21">
        <v>1001.61082320737</v>
      </c>
      <c r="R85" s="383">
        <v>1006.8947388000628</v>
      </c>
      <c r="S85" s="54">
        <v>10.20000000816</v>
      </c>
      <c r="T85" s="47">
        <v>7.0500000056399994</v>
      </c>
      <c r="U85" s="25">
        <v>2.1436996354145958</v>
      </c>
      <c r="V85" s="175" t="s">
        <v>208</v>
      </c>
      <c r="W85" s="198" t="s">
        <v>214</v>
      </c>
      <c r="X85" s="26">
        <v>24</v>
      </c>
      <c r="Y85" s="27">
        <v>7.2</v>
      </c>
      <c r="Z85" s="28">
        <v>0</v>
      </c>
      <c r="AA85" s="396">
        <v>0</v>
      </c>
      <c r="AB85" s="261" t="s">
        <v>275</v>
      </c>
      <c r="AC85" s="200"/>
    </row>
    <row r="86" spans="1:29" s="20" customFormat="1" ht="28.8" x14ac:dyDescent="0.3">
      <c r="A86" s="370">
        <v>45375</v>
      </c>
      <c r="B86" s="37">
        <v>3</v>
      </c>
      <c r="C86" s="14">
        <v>8</v>
      </c>
      <c r="D86" s="14">
        <v>0.9</v>
      </c>
      <c r="E86" s="14">
        <v>12.3</v>
      </c>
      <c r="F86" s="14">
        <v>-1.1000000000000001</v>
      </c>
      <c r="G86" s="58">
        <f t="shared" si="3"/>
        <v>13.4</v>
      </c>
      <c r="H86" s="58">
        <f t="shared" si="4"/>
        <v>3.2</v>
      </c>
      <c r="I86" s="60">
        <v>5.0560308555399667</v>
      </c>
      <c r="J86" s="165">
        <v>6.1</v>
      </c>
      <c r="K86" s="14">
        <v>-2</v>
      </c>
      <c r="L86" s="50">
        <v>2.21893408134643</v>
      </c>
      <c r="M86" s="66">
        <v>98.6</v>
      </c>
      <c r="N86" s="24">
        <v>48.3</v>
      </c>
      <c r="O86" s="62">
        <v>83.196914446002751</v>
      </c>
      <c r="P86" s="377">
        <v>1006.09212860983</v>
      </c>
      <c r="Q86" s="21">
        <v>1002.55423175883</v>
      </c>
      <c r="R86" s="383">
        <v>1004.4012253756774</v>
      </c>
      <c r="S86" s="54">
        <v>8.8000000070399995</v>
      </c>
      <c r="T86" s="47">
        <v>5.1600000041280003</v>
      </c>
      <c r="U86" s="25">
        <v>1.3132388576397398</v>
      </c>
      <c r="V86" s="175" t="s">
        <v>209</v>
      </c>
      <c r="W86" s="198" t="s">
        <v>221</v>
      </c>
      <c r="X86" s="26">
        <v>24</v>
      </c>
      <c r="Y86" s="27">
        <v>0.8</v>
      </c>
      <c r="Z86" s="28">
        <v>0</v>
      </c>
      <c r="AA86" s="396">
        <v>0</v>
      </c>
      <c r="AB86" s="261" t="s">
        <v>276</v>
      </c>
      <c r="AC86" s="200"/>
    </row>
    <row r="87" spans="1:29" s="20" customFormat="1" x14ac:dyDescent="0.3">
      <c r="A87" s="370">
        <v>45376</v>
      </c>
      <c r="B87" s="37">
        <v>-0.2</v>
      </c>
      <c r="C87" s="14">
        <v>10.199999999999999</v>
      </c>
      <c r="D87" s="14">
        <v>1.8</v>
      </c>
      <c r="E87" s="14">
        <v>11.2</v>
      </c>
      <c r="F87" s="14">
        <v>-0.7</v>
      </c>
      <c r="G87" s="58">
        <f t="shared" si="3"/>
        <v>11.899999999999999</v>
      </c>
      <c r="H87" s="58">
        <f t="shared" si="4"/>
        <v>3.4</v>
      </c>
      <c r="I87" s="60">
        <v>3.7412500000000004</v>
      </c>
      <c r="J87" s="165">
        <v>5.0999999999999996</v>
      </c>
      <c r="K87" s="14">
        <v>-1.5</v>
      </c>
      <c r="L87" s="50">
        <v>1.5549999999999995</v>
      </c>
      <c r="M87" s="66">
        <v>98.6</v>
      </c>
      <c r="N87" s="24">
        <v>57.6</v>
      </c>
      <c r="O87" s="62">
        <v>86.86548611111121</v>
      </c>
      <c r="P87" s="377">
        <v>1008.96306403809</v>
      </c>
      <c r="Q87" s="21">
        <v>1002.8079621623</v>
      </c>
      <c r="R87" s="383">
        <v>1004.8513510040403</v>
      </c>
      <c r="S87" s="54">
        <v>8.2000000065599998</v>
      </c>
      <c r="T87" s="47">
        <v>4.2250000033799999</v>
      </c>
      <c r="U87" s="25">
        <v>0.73142135700648847</v>
      </c>
      <c r="V87" s="175" t="s">
        <v>209</v>
      </c>
      <c r="W87" s="198" t="s">
        <v>214</v>
      </c>
      <c r="X87" s="26">
        <v>24</v>
      </c>
      <c r="Y87" s="27">
        <v>1.5</v>
      </c>
      <c r="Z87" s="28">
        <v>0</v>
      </c>
      <c r="AA87" s="396">
        <v>0</v>
      </c>
      <c r="AB87" s="261" t="s">
        <v>277</v>
      </c>
      <c r="AC87" s="200"/>
    </row>
    <row r="88" spans="1:29" s="20" customFormat="1" x14ac:dyDescent="0.3">
      <c r="A88" s="370">
        <v>45377</v>
      </c>
      <c r="B88" s="37">
        <v>-0.2</v>
      </c>
      <c r="C88" s="14">
        <v>12.4</v>
      </c>
      <c r="D88" s="14">
        <v>8.4</v>
      </c>
      <c r="E88" s="14">
        <v>13.3</v>
      </c>
      <c r="F88" s="14">
        <v>-0.5</v>
      </c>
      <c r="G88" s="58">
        <f t="shared" si="3"/>
        <v>13.8</v>
      </c>
      <c r="H88" s="58">
        <f t="shared" si="4"/>
        <v>7.25</v>
      </c>
      <c r="I88" s="60">
        <v>5.6663888888888918</v>
      </c>
      <c r="J88" s="165">
        <v>8.1999999999999993</v>
      </c>
      <c r="K88" s="14">
        <v>-1</v>
      </c>
      <c r="L88" s="50">
        <v>1.9915972222222231</v>
      </c>
      <c r="M88" s="66">
        <v>98.2</v>
      </c>
      <c r="N88" s="24">
        <v>54.5</v>
      </c>
      <c r="O88" s="62">
        <v>79.400416666666757</v>
      </c>
      <c r="P88" s="377">
        <v>1011.76367349388</v>
      </c>
      <c r="Q88" s="21">
        <v>1004.60039194949</v>
      </c>
      <c r="R88" s="383">
        <v>1008.3401940742604</v>
      </c>
      <c r="S88" s="54">
        <v>9.5000000076000006</v>
      </c>
      <c r="T88" s="47">
        <v>6.3600000050879997</v>
      </c>
      <c r="U88" s="25">
        <v>1.7595151529227564</v>
      </c>
      <c r="V88" s="175" t="s">
        <v>209</v>
      </c>
      <c r="W88" s="198"/>
      <c r="X88" s="26">
        <v>0</v>
      </c>
      <c r="Y88" s="27">
        <v>0</v>
      </c>
      <c r="Z88" s="28">
        <v>0</v>
      </c>
      <c r="AA88" s="396">
        <v>0</v>
      </c>
      <c r="AB88" s="261" t="s">
        <v>278</v>
      </c>
      <c r="AC88" s="200"/>
    </row>
    <row r="89" spans="1:29" s="20" customFormat="1" x14ac:dyDescent="0.3">
      <c r="A89" s="370">
        <v>45378</v>
      </c>
      <c r="B89" s="37">
        <v>6.9</v>
      </c>
      <c r="C89" s="14">
        <v>17</v>
      </c>
      <c r="D89" s="14">
        <v>14.9</v>
      </c>
      <c r="E89" s="14">
        <v>17.5</v>
      </c>
      <c r="F89" s="14">
        <v>3.2</v>
      </c>
      <c r="G89" s="58">
        <f t="shared" si="3"/>
        <v>14.3</v>
      </c>
      <c r="H89" s="58">
        <f t="shared" si="4"/>
        <v>13.425000000000001</v>
      </c>
      <c r="I89" s="60">
        <v>12.086805555555607</v>
      </c>
      <c r="J89" s="165">
        <v>7.4</v>
      </c>
      <c r="K89" s="14">
        <v>-0.4</v>
      </c>
      <c r="L89" s="50">
        <v>3.7006944444444407</v>
      </c>
      <c r="M89" s="66">
        <v>81.400000000000006</v>
      </c>
      <c r="N89" s="24">
        <v>44.3</v>
      </c>
      <c r="O89" s="62">
        <v>56.986875000000055</v>
      </c>
      <c r="P89" s="377">
        <v>1004.69412828336</v>
      </c>
      <c r="Q89" s="21">
        <v>996.48746963806502</v>
      </c>
      <c r="R89" s="383">
        <v>1000.5117274611208</v>
      </c>
      <c r="S89" s="54">
        <v>9.5000000076000006</v>
      </c>
      <c r="T89" s="47">
        <v>6.5366666718960005</v>
      </c>
      <c r="U89" s="25">
        <v>3.618620180936436</v>
      </c>
      <c r="V89" s="175" t="s">
        <v>208</v>
      </c>
      <c r="W89" s="198"/>
      <c r="X89" s="26">
        <v>0</v>
      </c>
      <c r="Y89" s="27">
        <v>0</v>
      </c>
      <c r="Z89" s="28">
        <v>0</v>
      </c>
      <c r="AA89" s="396">
        <v>0</v>
      </c>
      <c r="AB89" s="261" t="s">
        <v>252</v>
      </c>
      <c r="AC89" s="200"/>
    </row>
    <row r="90" spans="1:29" s="20" customFormat="1" x14ac:dyDescent="0.3">
      <c r="A90" s="370">
        <v>45379</v>
      </c>
      <c r="B90" s="37">
        <v>12.8</v>
      </c>
      <c r="C90" s="14">
        <v>14.6</v>
      </c>
      <c r="D90" s="14">
        <v>13.4</v>
      </c>
      <c r="E90" s="14">
        <v>15.7</v>
      </c>
      <c r="F90" s="14">
        <v>10.4</v>
      </c>
      <c r="G90" s="58">
        <f t="shared" si="3"/>
        <v>5.2999999999999989</v>
      </c>
      <c r="H90" s="58">
        <f t="shared" si="4"/>
        <v>13.55</v>
      </c>
      <c r="I90" s="60">
        <v>12.64465277777779</v>
      </c>
      <c r="J90" s="165">
        <v>10.199999999999999</v>
      </c>
      <c r="K90" s="14">
        <v>5.3</v>
      </c>
      <c r="L90" s="50">
        <v>7.5248611111111003</v>
      </c>
      <c r="M90" s="66">
        <v>93.3</v>
      </c>
      <c r="N90" s="24">
        <v>55.9</v>
      </c>
      <c r="O90" s="62">
        <v>71.465277777777743</v>
      </c>
      <c r="P90" s="377">
        <v>1000.32393787104</v>
      </c>
      <c r="Q90" s="21">
        <v>994.41080226504505</v>
      </c>
      <c r="R90" s="383">
        <v>997.30433413409889</v>
      </c>
      <c r="S90" s="54">
        <v>10.900000008719999</v>
      </c>
      <c r="T90" s="47">
        <v>6.5533333385760004</v>
      </c>
      <c r="U90" s="25">
        <v>4.040706842795232</v>
      </c>
      <c r="V90" s="175" t="s">
        <v>208</v>
      </c>
      <c r="W90" s="198" t="s">
        <v>214</v>
      </c>
      <c r="X90" s="26">
        <v>18</v>
      </c>
      <c r="Y90" s="27">
        <v>10</v>
      </c>
      <c r="Z90" s="28">
        <v>0</v>
      </c>
      <c r="AA90" s="396">
        <v>0</v>
      </c>
      <c r="AB90" s="261" t="s">
        <v>258</v>
      </c>
      <c r="AC90" s="200"/>
    </row>
    <row r="91" spans="1:29" s="20" customFormat="1" x14ac:dyDescent="0.3">
      <c r="A91" s="370">
        <v>45380</v>
      </c>
      <c r="B91" s="37">
        <v>5.8</v>
      </c>
      <c r="C91" s="14">
        <v>16.8</v>
      </c>
      <c r="D91" s="14">
        <v>15.2</v>
      </c>
      <c r="E91" s="14">
        <v>17.5</v>
      </c>
      <c r="F91" s="14">
        <v>4</v>
      </c>
      <c r="G91" s="58">
        <f t="shared" si="3"/>
        <v>13.5</v>
      </c>
      <c r="H91" s="58">
        <f t="shared" si="4"/>
        <v>13.25</v>
      </c>
      <c r="I91" s="60">
        <v>12.571666666666625</v>
      </c>
      <c r="J91" s="165">
        <v>9.9</v>
      </c>
      <c r="K91" s="14">
        <v>3.3</v>
      </c>
      <c r="L91" s="50">
        <v>7.1511805555555457</v>
      </c>
      <c r="M91" s="66">
        <v>97.7</v>
      </c>
      <c r="N91" s="24">
        <v>46.6</v>
      </c>
      <c r="O91" s="62">
        <v>71.534791666666678</v>
      </c>
      <c r="P91" s="377">
        <v>1012.0082650564</v>
      </c>
      <c r="Q91" s="21">
        <v>998.98419331687501</v>
      </c>
      <c r="R91" s="383">
        <v>1008.3539517302164</v>
      </c>
      <c r="S91" s="54">
        <v>12.20000000976</v>
      </c>
      <c r="T91" s="47">
        <v>8.4733333401119992</v>
      </c>
      <c r="U91" s="25">
        <v>3.4643631464029223</v>
      </c>
      <c r="V91" s="175" t="s">
        <v>208</v>
      </c>
      <c r="W91" s="198"/>
      <c r="X91" s="26">
        <v>0</v>
      </c>
      <c r="Y91" s="27">
        <v>0</v>
      </c>
      <c r="Z91" s="28">
        <v>0</v>
      </c>
      <c r="AA91" s="396">
        <v>0</v>
      </c>
      <c r="AB91" s="261" t="s">
        <v>280</v>
      </c>
      <c r="AC91" s="200"/>
    </row>
    <row r="92" spans="1:29" s="20" customFormat="1" x14ac:dyDescent="0.3">
      <c r="A92" s="370">
        <v>45381</v>
      </c>
      <c r="B92" s="37">
        <v>14.2</v>
      </c>
      <c r="C92" s="14">
        <v>23.2</v>
      </c>
      <c r="D92" s="14">
        <v>11.8</v>
      </c>
      <c r="E92" s="14">
        <v>23.2</v>
      </c>
      <c r="F92" s="14">
        <v>9.6999999999999993</v>
      </c>
      <c r="G92" s="58">
        <f t="shared" si="3"/>
        <v>13.5</v>
      </c>
      <c r="H92" s="58">
        <f>(B92+C92+2*D92)/4</f>
        <v>15.25</v>
      </c>
      <c r="I92" s="60">
        <v>16.372500000000027</v>
      </c>
      <c r="J92" s="165">
        <v>13.2</v>
      </c>
      <c r="K92" s="14">
        <v>8</v>
      </c>
      <c r="L92" s="50">
        <v>10.327986111111123</v>
      </c>
      <c r="M92" s="66">
        <v>90.1</v>
      </c>
      <c r="N92" s="24">
        <v>45.7</v>
      </c>
      <c r="O92" s="62">
        <v>68.705069444444419</v>
      </c>
      <c r="P92" s="377">
        <v>1009.87317831631</v>
      </c>
      <c r="Q92" s="21">
        <v>1007.3348869727899</v>
      </c>
      <c r="R92" s="383">
        <v>1008.6293874506798</v>
      </c>
      <c r="S92" s="54">
        <v>8.5000000068000006</v>
      </c>
      <c r="T92" s="47">
        <v>5.8966666713839997</v>
      </c>
      <c r="U92" s="25">
        <v>2.9144938115085703</v>
      </c>
      <c r="V92" s="175" t="s">
        <v>208</v>
      </c>
      <c r="W92" s="198"/>
      <c r="X92" s="26">
        <v>0</v>
      </c>
      <c r="Y92" s="27">
        <v>0</v>
      </c>
      <c r="Z92" s="28">
        <v>0</v>
      </c>
      <c r="AA92" s="396">
        <v>0</v>
      </c>
      <c r="AB92" s="261" t="s">
        <v>279</v>
      </c>
      <c r="AC92" s="200"/>
    </row>
    <row r="93" spans="1:29" s="257" customFormat="1" ht="15" thickBot="1" x14ac:dyDescent="0.35">
      <c r="A93" s="370">
        <v>45382</v>
      </c>
      <c r="B93" s="38">
        <v>8.9</v>
      </c>
      <c r="C93" s="22">
        <v>22.5</v>
      </c>
      <c r="D93" s="22">
        <v>21</v>
      </c>
      <c r="E93" s="22">
        <v>22.8</v>
      </c>
      <c r="F93" s="22">
        <v>6.5</v>
      </c>
      <c r="G93" s="22">
        <f t="shared" si="3"/>
        <v>16.3</v>
      </c>
      <c r="H93" s="22">
        <f>(B93+C93+2*D93)/4</f>
        <v>18.350000000000001</v>
      </c>
      <c r="I93" s="61">
        <v>16.346666666666696</v>
      </c>
      <c r="J93" s="166">
        <v>10.9</v>
      </c>
      <c r="K93" s="22">
        <v>5.8</v>
      </c>
      <c r="L93" s="256">
        <v>8.0373611111111174</v>
      </c>
      <c r="M93" s="67">
        <v>97.8</v>
      </c>
      <c r="N93" s="52">
        <v>35.9</v>
      </c>
      <c r="O93" s="63">
        <v>62.22368055555566</v>
      </c>
      <c r="P93" s="381">
        <v>1008.90433732467</v>
      </c>
      <c r="Q93" s="53">
        <v>1003.63545471981</v>
      </c>
      <c r="R93" s="388">
        <v>1006.3097548501007</v>
      </c>
      <c r="S93" s="56">
        <v>12.20000000976</v>
      </c>
      <c r="T93" s="49">
        <v>7.8500000062799984</v>
      </c>
      <c r="U93" s="39">
        <v>3.2735386499618206</v>
      </c>
      <c r="V93" s="176" t="s">
        <v>208</v>
      </c>
      <c r="W93" s="199" t="s">
        <v>239</v>
      </c>
      <c r="X93" s="40">
        <v>0</v>
      </c>
      <c r="Y93" s="41">
        <v>0</v>
      </c>
      <c r="Z93" s="42">
        <v>0</v>
      </c>
      <c r="AA93" s="399">
        <v>0</v>
      </c>
      <c r="AB93" s="262" t="s">
        <v>281</v>
      </c>
      <c r="AC93" s="404"/>
    </row>
    <row r="94" spans="1:29" s="326" customFormat="1" x14ac:dyDescent="0.3">
      <c r="A94" s="370">
        <v>45383</v>
      </c>
      <c r="B94" s="313">
        <v>14.9</v>
      </c>
      <c r="C94" s="314">
        <v>25.3</v>
      </c>
      <c r="D94" s="314">
        <v>22</v>
      </c>
      <c r="E94" s="314">
        <v>26.2</v>
      </c>
      <c r="F94" s="314">
        <v>14.4</v>
      </c>
      <c r="G94" s="315">
        <f t="shared" ref="G94:G154" si="5">E94-F94</f>
        <v>11.799999999999999</v>
      </c>
      <c r="H94" s="315">
        <f>(B94+C94+2*D94)/4</f>
        <v>21.05</v>
      </c>
      <c r="I94" s="316">
        <v>20.488461538461539</v>
      </c>
      <c r="J94" s="336">
        <v>12.6</v>
      </c>
      <c r="K94" s="314">
        <v>7.6</v>
      </c>
      <c r="L94" s="315">
        <v>9.7285314685314574</v>
      </c>
      <c r="M94" s="317">
        <v>69.7</v>
      </c>
      <c r="N94" s="318">
        <v>39.5</v>
      </c>
      <c r="O94" s="319">
        <v>50.66356643356643</v>
      </c>
      <c r="P94" s="380">
        <v>1005.63273806704</v>
      </c>
      <c r="Q94" s="320">
        <v>996.72337654780495</v>
      </c>
      <c r="R94" s="386">
        <v>1002.2321751903047</v>
      </c>
      <c r="S94" s="290">
        <v>13.600000010880001</v>
      </c>
      <c r="T94" s="291">
        <v>9.6633333410639999</v>
      </c>
      <c r="U94" s="291">
        <v>4.9961318447929504</v>
      </c>
      <c r="V94" s="292" t="s">
        <v>208</v>
      </c>
      <c r="W94" s="335" t="s">
        <v>214</v>
      </c>
      <c r="X94" s="322">
        <v>6</v>
      </c>
      <c r="Y94" s="323">
        <v>1.3</v>
      </c>
      <c r="Z94" s="324">
        <v>0</v>
      </c>
      <c r="AA94" s="398">
        <v>0</v>
      </c>
      <c r="AB94" s="325" t="s">
        <v>282</v>
      </c>
      <c r="AC94" s="402"/>
    </row>
    <row r="95" spans="1:29" s="20" customFormat="1" x14ac:dyDescent="0.3">
      <c r="A95" s="370">
        <v>45384</v>
      </c>
      <c r="B95" s="37">
        <v>11.8</v>
      </c>
      <c r="C95" s="14">
        <v>8.1999999999999993</v>
      </c>
      <c r="D95" s="14">
        <v>7.5</v>
      </c>
      <c r="E95" s="14">
        <v>19.899999999999999</v>
      </c>
      <c r="F95" s="14">
        <v>4</v>
      </c>
      <c r="G95" s="58">
        <f t="shared" si="5"/>
        <v>15.899999999999999</v>
      </c>
      <c r="H95" s="58">
        <f t="shared" ref="H95:H122" si="6">(B95+C95+2*D95)/4</f>
        <v>8.75</v>
      </c>
      <c r="I95" s="60">
        <v>9.984583333333342</v>
      </c>
      <c r="J95" s="165">
        <v>10.6</v>
      </c>
      <c r="K95" s="14">
        <v>3.3</v>
      </c>
      <c r="L95" s="50">
        <v>6.9942361111111255</v>
      </c>
      <c r="M95" s="66">
        <v>96.5</v>
      </c>
      <c r="N95" s="24">
        <v>44.4</v>
      </c>
      <c r="O95" s="62">
        <v>83.44798611111095</v>
      </c>
      <c r="P95" s="377">
        <v>1008.82390605022</v>
      </c>
      <c r="Q95" s="21">
        <v>994.725763847537</v>
      </c>
      <c r="R95" s="383">
        <v>1002.0749813837865</v>
      </c>
      <c r="S95" s="54">
        <v>10.500000008400001</v>
      </c>
      <c r="T95" s="47">
        <v>6.7883333387639997</v>
      </c>
      <c r="U95" s="25">
        <v>1.4629104489315168</v>
      </c>
      <c r="V95" s="175" t="s">
        <v>244</v>
      </c>
      <c r="W95" s="196" t="s">
        <v>214</v>
      </c>
      <c r="X95" s="16">
        <v>72</v>
      </c>
      <c r="Y95" s="17">
        <v>22.7</v>
      </c>
      <c r="Z95" s="18">
        <v>0</v>
      </c>
      <c r="AA95" s="394">
        <v>0</v>
      </c>
      <c r="AB95" s="260" t="s">
        <v>216</v>
      </c>
      <c r="AC95" s="200"/>
    </row>
    <row r="96" spans="1:29" s="20" customFormat="1" x14ac:dyDescent="0.3">
      <c r="A96" s="370">
        <v>45385</v>
      </c>
      <c r="B96" s="37">
        <v>4.7</v>
      </c>
      <c r="C96" s="14">
        <v>17.899999999999999</v>
      </c>
      <c r="D96" s="14">
        <v>10.3</v>
      </c>
      <c r="E96" s="14">
        <v>18.8</v>
      </c>
      <c r="F96" s="14">
        <v>2</v>
      </c>
      <c r="G96" s="58">
        <f t="shared" si="5"/>
        <v>16.8</v>
      </c>
      <c r="H96" s="58">
        <f t="shared" si="6"/>
        <v>10.8</v>
      </c>
      <c r="I96" s="60">
        <v>10.659513888888899</v>
      </c>
      <c r="J96" s="165">
        <v>8.8000000000000007</v>
      </c>
      <c r="K96" s="14">
        <v>1.5</v>
      </c>
      <c r="L96" s="50">
        <v>5.1955555555555719</v>
      </c>
      <c r="M96" s="66">
        <v>100</v>
      </c>
      <c r="N96" s="24">
        <v>40.9</v>
      </c>
      <c r="O96" s="62">
        <v>72.76409722222229</v>
      </c>
      <c r="P96" s="377">
        <v>1011.90390376384</v>
      </c>
      <c r="Q96" s="21">
        <v>1007.40281583722</v>
      </c>
      <c r="R96" s="383">
        <v>1009.1242827322964</v>
      </c>
      <c r="S96" s="54">
        <v>9.9000000079199992</v>
      </c>
      <c r="T96" s="47">
        <v>6.3633333384240007</v>
      </c>
      <c r="U96" s="25">
        <v>2.0658496748552935</v>
      </c>
      <c r="V96" s="175" t="s">
        <v>209</v>
      </c>
      <c r="W96" s="196" t="s">
        <v>239</v>
      </c>
      <c r="X96" s="16">
        <v>0</v>
      </c>
      <c r="Y96" s="17">
        <v>0</v>
      </c>
      <c r="Z96" s="18">
        <v>0</v>
      </c>
      <c r="AA96" s="394">
        <v>0</v>
      </c>
      <c r="AB96" s="260" t="s">
        <v>283</v>
      </c>
      <c r="AC96" s="200"/>
    </row>
    <row r="97" spans="1:29" s="20" customFormat="1" x14ac:dyDescent="0.3">
      <c r="A97" s="370">
        <v>45386</v>
      </c>
      <c r="B97" s="37">
        <v>8.6</v>
      </c>
      <c r="C97" s="14">
        <v>16.5</v>
      </c>
      <c r="D97" s="14">
        <v>12.9</v>
      </c>
      <c r="E97" s="14">
        <v>17.600000000000001</v>
      </c>
      <c r="F97" s="14">
        <v>7.5</v>
      </c>
      <c r="G97" s="58">
        <f t="shared" si="5"/>
        <v>10.100000000000001</v>
      </c>
      <c r="H97" s="58">
        <f t="shared" si="6"/>
        <v>12.725000000000001</v>
      </c>
      <c r="I97" s="60">
        <v>12.282569444444428</v>
      </c>
      <c r="J97" s="165">
        <v>12</v>
      </c>
      <c r="K97" s="14">
        <v>5.9</v>
      </c>
      <c r="L97" s="50">
        <v>8.5872222222222483</v>
      </c>
      <c r="M97" s="66">
        <v>93.7</v>
      </c>
      <c r="N97" s="24">
        <v>63</v>
      </c>
      <c r="O97" s="62">
        <v>78.856180555555454</v>
      </c>
      <c r="P97" s="377">
        <v>1015.3802177443</v>
      </c>
      <c r="Q97" s="21">
        <v>1011.36690190072</v>
      </c>
      <c r="R97" s="383">
        <v>1013.153302545022</v>
      </c>
      <c r="S97" s="55">
        <v>7.8000000062400003</v>
      </c>
      <c r="T97" s="48">
        <v>5.280000004224001</v>
      </c>
      <c r="U97" s="19">
        <v>2.0089130450853823</v>
      </c>
      <c r="V97" s="175" t="s">
        <v>208</v>
      </c>
      <c r="W97" s="197" t="s">
        <v>214</v>
      </c>
      <c r="X97" s="16">
        <v>12</v>
      </c>
      <c r="Y97" s="17">
        <v>2</v>
      </c>
      <c r="Z97" s="18">
        <v>0</v>
      </c>
      <c r="AA97" s="394">
        <v>0</v>
      </c>
      <c r="AB97" s="260" t="s">
        <v>237</v>
      </c>
      <c r="AC97" s="200"/>
    </row>
    <row r="98" spans="1:29" s="20" customFormat="1" x14ac:dyDescent="0.3">
      <c r="A98" s="370">
        <v>45387</v>
      </c>
      <c r="B98" s="37">
        <v>8.9</v>
      </c>
      <c r="C98" s="14">
        <v>16.7</v>
      </c>
      <c r="D98" s="14">
        <v>11.1</v>
      </c>
      <c r="E98" s="14">
        <v>18.3</v>
      </c>
      <c r="F98" s="14">
        <v>7.9</v>
      </c>
      <c r="G98" s="58">
        <f t="shared" si="5"/>
        <v>10.4</v>
      </c>
      <c r="H98" s="58">
        <f t="shared" si="6"/>
        <v>11.95</v>
      </c>
      <c r="I98" s="60">
        <v>12.573958333333382</v>
      </c>
      <c r="J98" s="165">
        <v>13.2</v>
      </c>
      <c r="K98" s="14">
        <v>7</v>
      </c>
      <c r="L98" s="50">
        <v>9.6623611111111352</v>
      </c>
      <c r="M98" s="66">
        <v>96.8</v>
      </c>
      <c r="N98" s="24">
        <v>64.599999999999994</v>
      </c>
      <c r="O98" s="62">
        <v>83.409444444444375</v>
      </c>
      <c r="P98" s="377">
        <v>1018.9016291706</v>
      </c>
      <c r="Q98" s="21">
        <v>1015.24196023303</v>
      </c>
      <c r="R98" s="383">
        <v>1017.1796015309259</v>
      </c>
      <c r="S98" s="54">
        <v>6.8000000054400003</v>
      </c>
      <c r="T98" s="47">
        <v>5.2633333375439992</v>
      </c>
      <c r="U98" s="25">
        <v>1.974114509099915</v>
      </c>
      <c r="V98" s="175" t="s">
        <v>208</v>
      </c>
      <c r="W98" s="197" t="s">
        <v>239</v>
      </c>
      <c r="X98" s="16">
        <v>0</v>
      </c>
      <c r="Y98" s="17">
        <v>0</v>
      </c>
      <c r="Z98" s="18">
        <v>0</v>
      </c>
      <c r="AA98" s="394">
        <v>0</v>
      </c>
      <c r="AB98" s="260" t="s">
        <v>252</v>
      </c>
      <c r="AC98" s="200"/>
    </row>
    <row r="99" spans="1:29" s="20" customFormat="1" x14ac:dyDescent="0.3">
      <c r="A99" s="370">
        <v>45388</v>
      </c>
      <c r="B99" s="37">
        <v>9.3000000000000007</v>
      </c>
      <c r="C99" s="14">
        <v>20.100000000000001</v>
      </c>
      <c r="D99" s="14">
        <v>12.2</v>
      </c>
      <c r="E99" s="14">
        <v>20.8</v>
      </c>
      <c r="F99" s="14">
        <v>7.6</v>
      </c>
      <c r="G99" s="58">
        <f t="shared" si="5"/>
        <v>13.200000000000001</v>
      </c>
      <c r="H99" s="58">
        <f t="shared" si="6"/>
        <v>13.45</v>
      </c>
      <c r="I99" s="60">
        <v>13.216319444444425</v>
      </c>
      <c r="J99" s="165">
        <v>15.1</v>
      </c>
      <c r="K99" s="14">
        <v>7</v>
      </c>
      <c r="L99" s="50">
        <v>10.721388888888898</v>
      </c>
      <c r="M99" s="66">
        <v>98.2</v>
      </c>
      <c r="N99" s="24">
        <v>62.3</v>
      </c>
      <c r="O99" s="62">
        <v>86.025833333333338</v>
      </c>
      <c r="P99" s="377">
        <v>1019.92339278456</v>
      </c>
      <c r="Q99" s="21">
        <v>1016.05566202897</v>
      </c>
      <c r="R99" s="383">
        <v>1017.4606466458091</v>
      </c>
      <c r="S99" s="54">
        <v>6.10000000488</v>
      </c>
      <c r="T99" s="47">
        <v>3.9000000031200002</v>
      </c>
      <c r="U99" s="25">
        <v>1.1915817573821879</v>
      </c>
      <c r="V99" s="175" t="s">
        <v>209</v>
      </c>
      <c r="W99" s="197" t="s">
        <v>239</v>
      </c>
      <c r="X99" s="16">
        <v>0</v>
      </c>
      <c r="Y99" s="17">
        <v>0</v>
      </c>
      <c r="Z99" s="18">
        <v>0</v>
      </c>
      <c r="AA99" s="394">
        <v>0</v>
      </c>
      <c r="AB99" s="260" t="s">
        <v>215</v>
      </c>
      <c r="AC99" s="200"/>
    </row>
    <row r="100" spans="1:29" s="20" customFormat="1" x14ac:dyDescent="0.3">
      <c r="A100" s="370">
        <v>45389</v>
      </c>
      <c r="B100" s="37">
        <v>8.5</v>
      </c>
      <c r="C100" s="14">
        <v>23.1</v>
      </c>
      <c r="D100" s="14">
        <v>15.2</v>
      </c>
      <c r="E100" s="14">
        <v>23.2</v>
      </c>
      <c r="F100" s="14">
        <v>6.8</v>
      </c>
      <c r="G100" s="58">
        <f t="shared" si="5"/>
        <v>16.399999999999999</v>
      </c>
      <c r="H100" s="58">
        <f t="shared" si="6"/>
        <v>15.5</v>
      </c>
      <c r="I100" s="60">
        <v>15.160749578211627</v>
      </c>
      <c r="J100" s="165">
        <v>13.8285476285794</v>
      </c>
      <c r="K100" s="14">
        <v>6.0553159822732701</v>
      </c>
      <c r="L100" s="50">
        <v>9.3176313181715784</v>
      </c>
      <c r="M100" s="66">
        <v>99</v>
      </c>
      <c r="N100" s="24">
        <v>44</v>
      </c>
      <c r="O100" s="62">
        <v>71.542058327307814</v>
      </c>
      <c r="P100" s="377">
        <v>1022.34247471665</v>
      </c>
      <c r="Q100" s="21">
        <v>1018.67106028225</v>
      </c>
      <c r="R100" s="383">
        <v>1020.4933137944657</v>
      </c>
      <c r="S100" s="54">
        <v>8.2000000065599998</v>
      </c>
      <c r="T100" s="47">
        <v>4.9433333372880002</v>
      </c>
      <c r="U100" s="25">
        <v>1.6563991336461672</v>
      </c>
      <c r="V100" s="175" t="s">
        <v>209</v>
      </c>
      <c r="W100" s="197"/>
      <c r="X100" s="16">
        <v>0</v>
      </c>
      <c r="Y100" s="17">
        <v>0</v>
      </c>
      <c r="Z100" s="18">
        <v>0</v>
      </c>
      <c r="AA100" s="394">
        <v>0</v>
      </c>
      <c r="AB100" s="260" t="s">
        <v>284</v>
      </c>
      <c r="AC100" s="200"/>
    </row>
    <row r="101" spans="1:29" s="20" customFormat="1" x14ac:dyDescent="0.3">
      <c r="A101" s="370">
        <v>45390</v>
      </c>
      <c r="B101" s="37">
        <v>8.1</v>
      </c>
      <c r="C101" s="14">
        <v>23.7</v>
      </c>
      <c r="D101" s="14">
        <v>13.8</v>
      </c>
      <c r="E101" s="14">
        <v>24.1</v>
      </c>
      <c r="F101" s="14">
        <v>6.6</v>
      </c>
      <c r="G101" s="58">
        <f t="shared" si="5"/>
        <v>17.5</v>
      </c>
      <c r="H101" s="58">
        <f t="shared" si="6"/>
        <v>14.85</v>
      </c>
      <c r="I101" s="60">
        <v>15.551818181818202</v>
      </c>
      <c r="J101" s="165">
        <v>11.8683954175605</v>
      </c>
      <c r="K101" s="14">
        <v>5.54945395756374</v>
      </c>
      <c r="L101" s="50">
        <v>8.438330785978815</v>
      </c>
      <c r="M101" s="66">
        <v>96</v>
      </c>
      <c r="N101" s="24">
        <v>38</v>
      </c>
      <c r="O101" s="62">
        <v>66.801575757575776</v>
      </c>
      <c r="P101" s="377">
        <v>1021.19394872081</v>
      </c>
      <c r="Q101" s="21">
        <v>1015.58996616441</v>
      </c>
      <c r="R101" s="383">
        <v>1018.5290914793724</v>
      </c>
      <c r="S101" s="54">
        <v>9.2000000073599999</v>
      </c>
      <c r="T101" s="47">
        <v>6.346666671743999</v>
      </c>
      <c r="U101" s="25">
        <v>2.068145456199967</v>
      </c>
      <c r="V101" s="175" t="s">
        <v>209</v>
      </c>
      <c r="W101" s="197"/>
      <c r="X101" s="16">
        <v>0</v>
      </c>
      <c r="Y101" s="17">
        <v>0</v>
      </c>
      <c r="Z101" s="18">
        <v>0</v>
      </c>
      <c r="AA101" s="394">
        <v>0</v>
      </c>
      <c r="AB101" s="260" t="s">
        <v>258</v>
      </c>
      <c r="AC101" s="200"/>
    </row>
    <row r="102" spans="1:29" s="20" customFormat="1" x14ac:dyDescent="0.3">
      <c r="A102" s="370">
        <v>45391</v>
      </c>
      <c r="B102" s="37">
        <v>10.1</v>
      </c>
      <c r="C102" s="14">
        <v>24.8</v>
      </c>
      <c r="D102" s="14">
        <v>15.2</v>
      </c>
      <c r="E102" s="14">
        <v>25</v>
      </c>
      <c r="F102" s="14">
        <v>8.1</v>
      </c>
      <c r="G102" s="58">
        <f t="shared" si="5"/>
        <v>16.899999999999999</v>
      </c>
      <c r="H102" s="58">
        <f t="shared" si="6"/>
        <v>16.324999999999999</v>
      </c>
      <c r="I102" s="60">
        <v>17.11400560224093</v>
      </c>
      <c r="J102" s="165">
        <v>14.2281942772058</v>
      </c>
      <c r="K102" s="14">
        <v>6.7197507180776803</v>
      </c>
      <c r="L102" s="50">
        <v>9.4996041331595595</v>
      </c>
      <c r="M102" s="66">
        <v>98</v>
      </c>
      <c r="N102" s="24">
        <v>39</v>
      </c>
      <c r="O102" s="62">
        <v>65.250420168067251</v>
      </c>
      <c r="P102" s="377">
        <v>1016.41652058698</v>
      </c>
      <c r="Q102" s="21">
        <v>1011.3367363077</v>
      </c>
      <c r="R102" s="383">
        <v>1014.2159706537625</v>
      </c>
      <c r="S102" s="54">
        <v>8.5000000068000006</v>
      </c>
      <c r="T102" s="47">
        <v>5.6466666711840006</v>
      </c>
      <c r="U102" s="25">
        <v>1.9466666682240001</v>
      </c>
      <c r="V102" s="175" t="s">
        <v>209</v>
      </c>
      <c r="W102" s="197"/>
      <c r="X102" s="16">
        <v>0</v>
      </c>
      <c r="Y102" s="17">
        <v>0</v>
      </c>
      <c r="Z102" s="18">
        <v>0</v>
      </c>
      <c r="AA102" s="394">
        <v>0</v>
      </c>
      <c r="AB102" s="260" t="s">
        <v>258</v>
      </c>
      <c r="AC102" s="200"/>
    </row>
    <row r="103" spans="1:29" s="20" customFormat="1" x14ac:dyDescent="0.3">
      <c r="A103" s="370">
        <v>45392</v>
      </c>
      <c r="B103" s="37">
        <v>6.8</v>
      </c>
      <c r="C103" s="14">
        <v>19.5</v>
      </c>
      <c r="D103" s="14">
        <v>13.4</v>
      </c>
      <c r="E103" s="14">
        <v>22.5</v>
      </c>
      <c r="F103" s="14">
        <v>11</v>
      </c>
      <c r="G103" s="58">
        <f t="shared" si="5"/>
        <v>11.5</v>
      </c>
      <c r="H103" s="58">
        <f t="shared" si="6"/>
        <v>13.275</v>
      </c>
      <c r="I103" s="60">
        <v>17.130539906103341</v>
      </c>
      <c r="J103" s="165">
        <v>15.2474088010658</v>
      </c>
      <c r="K103" s="14">
        <v>7.0294092846754301</v>
      </c>
      <c r="L103" s="50">
        <v>11.216606823363151</v>
      </c>
      <c r="M103" s="66">
        <v>78</v>
      </c>
      <c r="N103" s="24">
        <v>60</v>
      </c>
      <c r="O103" s="62">
        <v>68.519483568075117</v>
      </c>
      <c r="P103" s="377">
        <v>1028.9923101704701</v>
      </c>
      <c r="Q103" s="21">
        <v>1016.8771522841701</v>
      </c>
      <c r="R103" s="383">
        <v>1022.0786766761347</v>
      </c>
      <c r="S103" s="54">
        <v>8.2000000065599998</v>
      </c>
      <c r="T103" s="47">
        <v>5.3033333375759995</v>
      </c>
      <c r="U103" s="25">
        <v>3.0266197207311634</v>
      </c>
      <c r="V103" s="175" t="s">
        <v>210</v>
      </c>
      <c r="W103" s="197"/>
      <c r="X103" s="16">
        <v>0</v>
      </c>
      <c r="Y103" s="17">
        <v>0</v>
      </c>
      <c r="Z103" s="18">
        <v>0</v>
      </c>
      <c r="AA103" s="394">
        <v>0</v>
      </c>
      <c r="AB103" s="260" t="s">
        <v>252</v>
      </c>
      <c r="AC103" s="200"/>
    </row>
    <row r="104" spans="1:29" s="20" customFormat="1" x14ac:dyDescent="0.3">
      <c r="A104" s="370">
        <v>45393</v>
      </c>
      <c r="B104" s="37">
        <v>10.4</v>
      </c>
      <c r="C104" s="14">
        <v>19.2</v>
      </c>
      <c r="D104" s="14">
        <v>11.6</v>
      </c>
      <c r="E104" s="14">
        <v>20.100000000000001</v>
      </c>
      <c r="F104" s="14">
        <v>7.2</v>
      </c>
      <c r="G104" s="58">
        <f t="shared" si="5"/>
        <v>12.900000000000002</v>
      </c>
      <c r="H104" s="58">
        <f t="shared" si="6"/>
        <v>13.2</v>
      </c>
      <c r="I104" s="60">
        <v>14.092802731809835</v>
      </c>
      <c r="J104" s="165">
        <v>11.8990788283266</v>
      </c>
      <c r="K104" s="14">
        <v>4.4521391208420598</v>
      </c>
      <c r="L104" s="50">
        <v>8.3841162999471415</v>
      </c>
      <c r="M104" s="66">
        <v>87</v>
      </c>
      <c r="N104" s="24">
        <v>54</v>
      </c>
      <c r="O104" s="62">
        <v>69.347386393485692</v>
      </c>
      <c r="P104" s="377">
        <v>1031.3805063382399</v>
      </c>
      <c r="Q104" s="21">
        <v>1028.4258307472201</v>
      </c>
      <c r="R104" s="383">
        <v>1029.6956629210165</v>
      </c>
      <c r="S104" s="54">
        <v>8.5000000068000006</v>
      </c>
      <c r="T104" s="47">
        <v>5.2233333375119999</v>
      </c>
      <c r="U104" s="25">
        <v>2.072025218363688</v>
      </c>
      <c r="V104" s="175" t="s">
        <v>209</v>
      </c>
      <c r="W104" s="197"/>
      <c r="X104" s="16">
        <v>0</v>
      </c>
      <c r="Y104" s="17">
        <v>0</v>
      </c>
      <c r="Z104" s="18">
        <v>0</v>
      </c>
      <c r="AA104" s="394">
        <v>0</v>
      </c>
      <c r="AB104" s="260" t="s">
        <v>258</v>
      </c>
      <c r="AC104" s="200"/>
    </row>
    <row r="105" spans="1:29" s="20" customFormat="1" x14ac:dyDescent="0.3">
      <c r="A105" s="370">
        <v>45394</v>
      </c>
      <c r="B105" s="37">
        <v>6.7</v>
      </c>
      <c r="C105" s="14">
        <v>22.9</v>
      </c>
      <c r="D105" s="14">
        <v>12.1</v>
      </c>
      <c r="E105" s="14">
        <v>23.3</v>
      </c>
      <c r="F105" s="14">
        <v>3.6</v>
      </c>
      <c r="G105" s="58">
        <f t="shared" si="5"/>
        <v>19.7</v>
      </c>
      <c r="H105" s="58">
        <f t="shared" si="6"/>
        <v>13.45</v>
      </c>
      <c r="I105" s="60">
        <v>13.57440562833578</v>
      </c>
      <c r="J105" s="165">
        <v>10.585144386379699</v>
      </c>
      <c r="K105" s="14">
        <v>1.8003576189905199</v>
      </c>
      <c r="L105" s="50">
        <v>6.9752582780534631</v>
      </c>
      <c r="M105" s="66">
        <v>95</v>
      </c>
      <c r="N105" s="24">
        <v>38</v>
      </c>
      <c r="O105" s="62">
        <v>68.029597282872402</v>
      </c>
      <c r="P105" s="377">
        <v>1032.1373377667301</v>
      </c>
      <c r="Q105" s="21">
        <v>1025.09258488359</v>
      </c>
      <c r="R105" s="383">
        <v>1028.6095682005589</v>
      </c>
      <c r="S105" s="54">
        <v>6.10000000488</v>
      </c>
      <c r="T105" s="47">
        <v>3.7066666696319999</v>
      </c>
      <c r="U105" s="25">
        <v>1.1440077641369428</v>
      </c>
      <c r="V105" s="175" t="s">
        <v>209</v>
      </c>
      <c r="W105" s="197"/>
      <c r="X105" s="16">
        <v>0</v>
      </c>
      <c r="Y105" s="17">
        <v>0</v>
      </c>
      <c r="Z105" s="18">
        <v>0</v>
      </c>
      <c r="AA105" s="394">
        <v>0</v>
      </c>
      <c r="AB105" s="260" t="s">
        <v>285</v>
      </c>
      <c r="AC105" s="200"/>
    </row>
    <row r="106" spans="1:29" s="20" customFormat="1" x14ac:dyDescent="0.3">
      <c r="A106" s="370">
        <v>45395</v>
      </c>
      <c r="B106" s="37">
        <v>10.1</v>
      </c>
      <c r="C106" s="14">
        <v>24.9</v>
      </c>
      <c r="D106" s="14">
        <v>13.9</v>
      </c>
      <c r="E106" s="14">
        <v>25.2</v>
      </c>
      <c r="F106" s="14">
        <v>6.2</v>
      </c>
      <c r="G106" s="58">
        <f t="shared" si="5"/>
        <v>19</v>
      </c>
      <c r="H106" s="58">
        <f t="shared" si="6"/>
        <v>15.7</v>
      </c>
      <c r="I106" s="60">
        <v>15.390789473684231</v>
      </c>
      <c r="J106" s="165">
        <v>13.0255307308455</v>
      </c>
      <c r="K106" s="14">
        <v>5.0387239662715499</v>
      </c>
      <c r="L106" s="50">
        <v>8.7621256150571618</v>
      </c>
      <c r="M106" s="66">
        <v>97</v>
      </c>
      <c r="N106" s="24">
        <v>37</v>
      </c>
      <c r="O106" s="62">
        <v>69.385651629072711</v>
      </c>
      <c r="P106" s="377">
        <v>1026.80702976922</v>
      </c>
      <c r="Q106" s="21">
        <v>1020.3269316234901</v>
      </c>
      <c r="R106" s="383">
        <v>1024.0373703698181</v>
      </c>
      <c r="S106" s="54">
        <v>4.1000000032799999</v>
      </c>
      <c r="T106" s="47">
        <v>2.9400000023520008</v>
      </c>
      <c r="U106" s="25">
        <v>0.78734335902586305</v>
      </c>
      <c r="V106" s="175" t="s">
        <v>209</v>
      </c>
      <c r="W106" s="200"/>
      <c r="X106" s="26">
        <v>0</v>
      </c>
      <c r="Y106" s="27">
        <v>0</v>
      </c>
      <c r="Z106" s="28">
        <v>0</v>
      </c>
      <c r="AA106" s="396">
        <v>0</v>
      </c>
      <c r="AB106" s="261" t="s">
        <v>265</v>
      </c>
      <c r="AC106" s="200"/>
    </row>
    <row r="107" spans="1:29" s="20" customFormat="1" x14ac:dyDescent="0.3">
      <c r="A107" s="370">
        <v>45396</v>
      </c>
      <c r="B107" s="37">
        <v>9.1</v>
      </c>
      <c r="C107" s="14">
        <v>21.8</v>
      </c>
      <c r="D107" s="14">
        <v>15.5</v>
      </c>
      <c r="E107" s="14">
        <v>23.9</v>
      </c>
      <c r="F107" s="14">
        <v>7.1</v>
      </c>
      <c r="G107" s="58">
        <f t="shared" si="5"/>
        <v>16.799999999999997</v>
      </c>
      <c r="H107" s="58">
        <f t="shared" si="6"/>
        <v>15.475</v>
      </c>
      <c r="I107" s="60">
        <v>17.613843941028378</v>
      </c>
      <c r="J107" s="165">
        <v>15.7279317140658</v>
      </c>
      <c r="K107" s="14">
        <v>5.9665390226506796</v>
      </c>
      <c r="L107" s="50">
        <v>12.732933840821852</v>
      </c>
      <c r="M107" s="66">
        <v>99</v>
      </c>
      <c r="N107" s="24">
        <v>52</v>
      </c>
      <c r="O107" s="62">
        <v>74.361380798273998</v>
      </c>
      <c r="P107" s="377">
        <v>1021.8766877097</v>
      </c>
      <c r="Q107" s="21">
        <v>1012.7319290437</v>
      </c>
      <c r="R107" s="383">
        <v>1015.4606717414574</v>
      </c>
      <c r="S107" s="54">
        <v>6.8000000054400003</v>
      </c>
      <c r="T107" s="47">
        <v>3.9933333365279999</v>
      </c>
      <c r="U107" s="25">
        <v>1.3039014753329401</v>
      </c>
      <c r="V107" s="175" t="s">
        <v>209</v>
      </c>
      <c r="W107" s="198"/>
      <c r="X107" s="26">
        <v>0</v>
      </c>
      <c r="Y107" s="27">
        <v>0</v>
      </c>
      <c r="Z107" s="28">
        <v>0</v>
      </c>
      <c r="AA107" s="396">
        <v>0</v>
      </c>
      <c r="AB107" s="261" t="s">
        <v>251</v>
      </c>
      <c r="AC107" s="200"/>
    </row>
    <row r="108" spans="1:29" s="20" customFormat="1" x14ac:dyDescent="0.3">
      <c r="A108" s="370">
        <v>45397</v>
      </c>
      <c r="B108" s="37">
        <v>10.7</v>
      </c>
      <c r="C108" s="14">
        <v>20.7</v>
      </c>
      <c r="D108" s="14">
        <v>13.7</v>
      </c>
      <c r="E108" s="14">
        <v>21.8</v>
      </c>
      <c r="F108" s="14">
        <v>9.3000000000000007</v>
      </c>
      <c r="G108" s="58">
        <f t="shared" si="5"/>
        <v>12.5</v>
      </c>
      <c r="H108" s="58">
        <f t="shared" si="6"/>
        <v>14.7</v>
      </c>
      <c r="I108" s="60">
        <v>14.610012970168617</v>
      </c>
      <c r="J108" s="165">
        <v>15.546454804533701</v>
      </c>
      <c r="K108" s="14">
        <v>8.0669824948907607</v>
      </c>
      <c r="L108" s="50">
        <v>11.886466410095036</v>
      </c>
      <c r="M108" s="66">
        <v>98</v>
      </c>
      <c r="N108" s="24">
        <v>60</v>
      </c>
      <c r="O108" s="62">
        <v>84.702594033722448</v>
      </c>
      <c r="P108" s="377">
        <v>1014.85303472804</v>
      </c>
      <c r="Q108" s="21">
        <v>1001.40404505924</v>
      </c>
      <c r="R108" s="383">
        <v>1007.6859429037762</v>
      </c>
      <c r="S108" s="54">
        <v>5.4000000043199998</v>
      </c>
      <c r="T108" s="47">
        <v>3.3600000026879995</v>
      </c>
      <c r="U108" s="25">
        <v>1.010064851651113</v>
      </c>
      <c r="V108" s="175" t="s">
        <v>209</v>
      </c>
      <c r="W108" s="198" t="s">
        <v>214</v>
      </c>
      <c r="X108" s="26">
        <v>12</v>
      </c>
      <c r="Y108" s="27">
        <v>9</v>
      </c>
      <c r="Z108" s="28">
        <v>0</v>
      </c>
      <c r="AA108" s="396">
        <v>0</v>
      </c>
      <c r="AB108" s="261" t="s">
        <v>291</v>
      </c>
      <c r="AC108" s="200"/>
    </row>
    <row r="109" spans="1:29" s="20" customFormat="1" x14ac:dyDescent="0.3">
      <c r="A109" s="370">
        <v>45398</v>
      </c>
      <c r="B109" s="37">
        <v>12.1</v>
      </c>
      <c r="C109" s="14">
        <v>11.4</v>
      </c>
      <c r="D109" s="14">
        <v>7.3</v>
      </c>
      <c r="E109" s="14">
        <v>12.1</v>
      </c>
      <c r="F109" s="14">
        <v>4.4000000000000004</v>
      </c>
      <c r="G109" s="58">
        <f t="shared" si="5"/>
        <v>7.6999999999999993</v>
      </c>
      <c r="H109" s="58">
        <f t="shared" si="6"/>
        <v>9.5250000000000004</v>
      </c>
      <c r="I109" s="60">
        <v>9.9636511817440976</v>
      </c>
      <c r="J109" s="165">
        <v>11.6378555583545</v>
      </c>
      <c r="K109" s="14">
        <v>3.0608782533544101</v>
      </c>
      <c r="L109" s="50">
        <v>7.9349046584416785</v>
      </c>
      <c r="M109" s="66">
        <v>97</v>
      </c>
      <c r="N109" s="24">
        <v>71</v>
      </c>
      <c r="O109" s="62">
        <v>87.503124151045924</v>
      </c>
      <c r="P109" s="377">
        <v>1003.76263501837</v>
      </c>
      <c r="Q109" s="21">
        <v>999.97939450008596</v>
      </c>
      <c r="R109" s="383">
        <v>1002.334071803697</v>
      </c>
      <c r="S109" s="54">
        <v>5.4000000043199998</v>
      </c>
      <c r="T109" s="47">
        <v>4.1000000032799999</v>
      </c>
      <c r="U109" s="25">
        <v>1.2722493897708578</v>
      </c>
      <c r="V109" s="175" t="s">
        <v>244</v>
      </c>
      <c r="W109" s="198" t="s">
        <v>214</v>
      </c>
      <c r="X109" s="26">
        <v>42</v>
      </c>
      <c r="Y109" s="27">
        <v>3</v>
      </c>
      <c r="Z109" s="28">
        <v>0</v>
      </c>
      <c r="AA109" s="396">
        <v>0</v>
      </c>
      <c r="AB109" s="261" t="s">
        <v>216</v>
      </c>
      <c r="AC109" s="200"/>
    </row>
    <row r="110" spans="1:29" s="20" customFormat="1" x14ac:dyDescent="0.3">
      <c r="A110" s="370">
        <v>45399</v>
      </c>
      <c r="B110" s="37">
        <v>3.1</v>
      </c>
      <c r="C110" s="14">
        <v>14.1</v>
      </c>
      <c r="D110" s="14">
        <v>5.0999999999999996</v>
      </c>
      <c r="E110" s="14">
        <v>15.5</v>
      </c>
      <c r="F110" s="14">
        <v>3</v>
      </c>
      <c r="G110" s="58">
        <f t="shared" si="5"/>
        <v>12.5</v>
      </c>
      <c r="H110" s="58">
        <f t="shared" si="6"/>
        <v>6.85</v>
      </c>
      <c r="I110" s="60">
        <v>7.5925296044343602</v>
      </c>
      <c r="J110" s="165">
        <v>6.7320949965250403</v>
      </c>
      <c r="K110" s="14">
        <v>0.89268511431170305</v>
      </c>
      <c r="L110" s="50">
        <v>3.367649481515504</v>
      </c>
      <c r="M110" s="66">
        <v>99</v>
      </c>
      <c r="N110" s="24">
        <v>43</v>
      </c>
      <c r="O110" s="62">
        <v>76.896321491559604</v>
      </c>
      <c r="P110" s="377">
        <v>1005.41103540854</v>
      </c>
      <c r="Q110" s="21">
        <v>999.98969023922496</v>
      </c>
      <c r="R110" s="383">
        <v>1002.4437483958579</v>
      </c>
      <c r="S110" s="54">
        <v>6.5000000052000004</v>
      </c>
      <c r="T110" s="47">
        <v>4.1333333366399998</v>
      </c>
      <c r="U110" s="25">
        <v>1.189014866156562</v>
      </c>
      <c r="V110" s="175" t="s">
        <v>209</v>
      </c>
      <c r="W110" s="198" t="s">
        <v>221</v>
      </c>
      <c r="X110" s="26">
        <v>12</v>
      </c>
      <c r="Y110" s="27">
        <v>1.1000000000000001</v>
      </c>
      <c r="Z110" s="28">
        <v>0</v>
      </c>
      <c r="AA110" s="396">
        <v>0</v>
      </c>
      <c r="AB110" s="261" t="s">
        <v>292</v>
      </c>
      <c r="AC110" s="200"/>
    </row>
    <row r="111" spans="1:29" s="20" customFormat="1" x14ac:dyDescent="0.3">
      <c r="A111" s="370">
        <v>45400</v>
      </c>
      <c r="B111" s="37">
        <v>6.2</v>
      </c>
      <c r="C111" s="14">
        <v>12.9</v>
      </c>
      <c r="D111" s="14">
        <v>5.2</v>
      </c>
      <c r="E111" s="14">
        <v>13.3</v>
      </c>
      <c r="F111" s="14">
        <v>3.2</v>
      </c>
      <c r="G111" s="58">
        <f t="shared" si="5"/>
        <v>10.100000000000001</v>
      </c>
      <c r="H111" s="58">
        <f t="shared" si="6"/>
        <v>7.375</v>
      </c>
      <c r="I111" s="60">
        <v>7.853492869228889</v>
      </c>
      <c r="J111" s="165">
        <v>4.2055183394970097</v>
      </c>
      <c r="K111" s="14">
        <v>-0.74900425131327197</v>
      </c>
      <c r="L111" s="50">
        <v>1.7534272173912999</v>
      </c>
      <c r="M111" s="66">
        <v>92</v>
      </c>
      <c r="N111" s="24">
        <v>40</v>
      </c>
      <c r="O111" s="62">
        <v>67.811578438482002</v>
      </c>
      <c r="P111" s="377">
        <v>1011.42736192239</v>
      </c>
      <c r="Q111" s="21">
        <v>1005.02529289834</v>
      </c>
      <c r="R111" s="383">
        <v>1007.2041238851518</v>
      </c>
      <c r="S111" s="54">
        <v>10.900000008719999</v>
      </c>
      <c r="T111" s="47">
        <v>6.3633333384239998</v>
      </c>
      <c r="U111" s="25">
        <v>2.668999276972035</v>
      </c>
      <c r="V111" s="175" t="s">
        <v>210</v>
      </c>
      <c r="W111" s="198"/>
      <c r="X111" s="26">
        <v>0</v>
      </c>
      <c r="Y111" s="27">
        <v>0</v>
      </c>
      <c r="Z111" s="28">
        <v>0</v>
      </c>
      <c r="AA111" s="396">
        <v>0</v>
      </c>
      <c r="AB111" s="261" t="s">
        <v>252</v>
      </c>
      <c r="AC111" s="200"/>
    </row>
    <row r="112" spans="1:29" s="20" customFormat="1" x14ac:dyDescent="0.3">
      <c r="A112" s="370">
        <v>45401</v>
      </c>
      <c r="B112" s="37">
        <v>3.1</v>
      </c>
      <c r="C112" s="14">
        <v>12.1</v>
      </c>
      <c r="D112" s="14">
        <v>5.8</v>
      </c>
      <c r="E112" s="14">
        <v>12.9</v>
      </c>
      <c r="F112" s="14">
        <v>1.5</v>
      </c>
      <c r="G112" s="58">
        <f t="shared" si="5"/>
        <v>11.4</v>
      </c>
      <c r="H112" s="58">
        <f t="shared" si="6"/>
        <v>6.6999999999999993</v>
      </c>
      <c r="I112" s="60">
        <v>7.8532013685239583</v>
      </c>
      <c r="J112" s="165">
        <v>4.3615142415641097</v>
      </c>
      <c r="K112" s="14">
        <v>-4.0827983657139297</v>
      </c>
      <c r="L112" s="50">
        <v>-0.3856577267193313</v>
      </c>
      <c r="M112" s="66">
        <v>91</v>
      </c>
      <c r="N112" s="24">
        <v>31</v>
      </c>
      <c r="O112" s="62">
        <v>59.576246334310831</v>
      </c>
      <c r="P112" s="377">
        <v>1012.8551152444001</v>
      </c>
      <c r="Q112" s="21">
        <v>1006.63977546203</v>
      </c>
      <c r="R112" s="383">
        <v>1009.6100974497771</v>
      </c>
      <c r="S112" s="54">
        <v>8.8000000070399995</v>
      </c>
      <c r="T112" s="47">
        <v>5.7366666712559988</v>
      </c>
      <c r="U112" s="25">
        <v>1.7124389065507928</v>
      </c>
      <c r="V112" s="175" t="s">
        <v>208</v>
      </c>
      <c r="W112" s="198"/>
      <c r="X112" s="26">
        <v>0</v>
      </c>
      <c r="Y112" s="27">
        <v>0</v>
      </c>
      <c r="Z112" s="28">
        <v>0</v>
      </c>
      <c r="AA112" s="396">
        <v>0</v>
      </c>
      <c r="AB112" s="261" t="s">
        <v>258</v>
      </c>
      <c r="AC112" s="200"/>
    </row>
    <row r="113" spans="1:29" s="20" customFormat="1" x14ac:dyDescent="0.3">
      <c r="A113" s="370">
        <v>45402</v>
      </c>
      <c r="B113" s="37">
        <v>6.2</v>
      </c>
      <c r="C113" s="14">
        <v>12.3</v>
      </c>
      <c r="D113" s="14">
        <v>7</v>
      </c>
      <c r="E113" s="14">
        <v>14.1</v>
      </c>
      <c r="F113" s="14">
        <v>2.1666666666666701</v>
      </c>
      <c r="G113" s="58">
        <f t="shared" si="5"/>
        <v>11.93333333333333</v>
      </c>
      <c r="H113" s="58">
        <f t="shared" si="6"/>
        <v>8.125</v>
      </c>
      <c r="I113" s="60">
        <v>8.5927491673072058</v>
      </c>
      <c r="J113" s="165">
        <v>4.7115087552091399</v>
      </c>
      <c r="K113" s="14">
        <v>-1.01462180032002</v>
      </c>
      <c r="L113" s="50">
        <v>1.4149689200231805</v>
      </c>
      <c r="M113" s="66">
        <v>83</v>
      </c>
      <c r="N113" s="24">
        <v>36</v>
      </c>
      <c r="O113" s="62">
        <v>62.512042018959775</v>
      </c>
      <c r="P113" s="377">
        <v>1012.5390559216401</v>
      </c>
      <c r="Q113" s="21">
        <v>1006.96238901718</v>
      </c>
      <c r="R113" s="383">
        <v>1008.8966860392171</v>
      </c>
      <c r="S113" s="54">
        <v>8.5000000068000006</v>
      </c>
      <c r="T113" s="47">
        <v>5.3733333376319994</v>
      </c>
      <c r="U113" s="25">
        <v>1.8680374086171556</v>
      </c>
      <c r="V113" s="175" t="s">
        <v>208</v>
      </c>
      <c r="W113" s="198"/>
      <c r="X113" s="26">
        <v>0</v>
      </c>
      <c r="Y113" s="27">
        <v>0</v>
      </c>
      <c r="Z113" s="28">
        <v>0</v>
      </c>
      <c r="AA113" s="396">
        <v>0</v>
      </c>
      <c r="AB113" s="261" t="s">
        <v>252</v>
      </c>
      <c r="AC113" s="200"/>
    </row>
    <row r="114" spans="1:29" s="20" customFormat="1" x14ac:dyDescent="0.3">
      <c r="A114" s="370">
        <v>45403</v>
      </c>
      <c r="B114" s="37">
        <v>3.9</v>
      </c>
      <c r="C114" s="14">
        <v>9.5</v>
      </c>
      <c r="D114" s="14">
        <v>4.5</v>
      </c>
      <c r="E114" s="14">
        <v>11.6</v>
      </c>
      <c r="F114" s="14">
        <v>4.3</v>
      </c>
      <c r="G114" s="58">
        <f t="shared" si="5"/>
        <v>7.3</v>
      </c>
      <c r="H114" s="58">
        <f t="shared" si="6"/>
        <v>5.6</v>
      </c>
      <c r="I114" s="60">
        <v>7.1242059145673178</v>
      </c>
      <c r="J114" s="165">
        <v>7.4</v>
      </c>
      <c r="K114" s="14">
        <v>2.5</v>
      </c>
      <c r="L114" s="50">
        <v>4.0751369112814864</v>
      </c>
      <c r="M114" s="66">
        <v>93.4</v>
      </c>
      <c r="N114" s="24">
        <v>69.900000000000006</v>
      </c>
      <c r="O114" s="62">
        <v>81.314786418400885</v>
      </c>
      <c r="P114" s="377">
        <v>1016.28030696902</v>
      </c>
      <c r="Q114" s="21">
        <v>1011.94569796924</v>
      </c>
      <c r="R114" s="383">
        <v>1013.525549520198</v>
      </c>
      <c r="S114" s="54">
        <v>8.2000000065599998</v>
      </c>
      <c r="T114" s="47">
        <v>4.9466666706240003</v>
      </c>
      <c r="U114" s="25">
        <v>1.9991763581884845</v>
      </c>
      <c r="V114" s="175" t="s">
        <v>210</v>
      </c>
      <c r="W114" s="198"/>
      <c r="X114" s="26">
        <v>0</v>
      </c>
      <c r="Y114" s="27">
        <v>0</v>
      </c>
      <c r="Z114" s="28">
        <v>0</v>
      </c>
      <c r="AA114" s="396">
        <v>0</v>
      </c>
      <c r="AB114" s="261" t="s">
        <v>216</v>
      </c>
      <c r="AC114" s="200"/>
    </row>
    <row r="115" spans="1:29" s="20" customFormat="1" x14ac:dyDescent="0.3">
      <c r="A115" s="370">
        <v>45404</v>
      </c>
      <c r="B115" s="37">
        <v>5</v>
      </c>
      <c r="C115" s="14">
        <v>6.9</v>
      </c>
      <c r="D115" s="14">
        <v>3.1</v>
      </c>
      <c r="E115" s="14">
        <v>7.6</v>
      </c>
      <c r="F115" s="14">
        <v>0</v>
      </c>
      <c r="G115" s="58">
        <f t="shared" si="5"/>
        <v>7.6</v>
      </c>
      <c r="H115" s="58">
        <f t="shared" si="6"/>
        <v>4.5250000000000004</v>
      </c>
      <c r="I115" s="60">
        <v>5.0291666666666783</v>
      </c>
      <c r="J115" s="165">
        <v>5.8</v>
      </c>
      <c r="K115" s="14">
        <v>-1.1000000000000001</v>
      </c>
      <c r="L115" s="50">
        <v>3.3784027777777701</v>
      </c>
      <c r="M115" s="66">
        <v>93.8</v>
      </c>
      <c r="N115" s="24">
        <v>79.3</v>
      </c>
      <c r="O115" s="62">
        <v>89.166597222222222</v>
      </c>
      <c r="P115" s="377">
        <v>1022.0687541585</v>
      </c>
      <c r="Q115" s="21">
        <v>1014.53957495708</v>
      </c>
      <c r="R115" s="383">
        <v>1018.0503550532928</v>
      </c>
      <c r="S115" s="54">
        <v>6.5000000052000004</v>
      </c>
      <c r="T115" s="47">
        <v>3.9733333365119998</v>
      </c>
      <c r="U115" s="25">
        <v>1.3970048320354838</v>
      </c>
      <c r="V115" s="175" t="s">
        <v>209</v>
      </c>
      <c r="W115" s="198" t="s">
        <v>214</v>
      </c>
      <c r="X115" s="26">
        <v>6</v>
      </c>
      <c r="Y115" s="27">
        <v>1</v>
      </c>
      <c r="Z115" s="28">
        <v>0</v>
      </c>
      <c r="AA115" s="396">
        <v>0</v>
      </c>
      <c r="AB115" s="261" t="s">
        <v>216</v>
      </c>
      <c r="AC115" s="200"/>
    </row>
    <row r="116" spans="1:29" s="20" customFormat="1" x14ac:dyDescent="0.3">
      <c r="A116" s="370">
        <v>45405</v>
      </c>
      <c r="B116" s="37">
        <v>4.3</v>
      </c>
      <c r="C116" s="14">
        <v>16.8</v>
      </c>
      <c r="D116" s="14">
        <v>6.7</v>
      </c>
      <c r="E116" s="14">
        <v>16.899999999999999</v>
      </c>
      <c r="F116" s="14">
        <v>-0.6</v>
      </c>
      <c r="G116" s="58">
        <f t="shared" si="5"/>
        <v>17.5</v>
      </c>
      <c r="H116" s="58">
        <f t="shared" si="6"/>
        <v>8.625</v>
      </c>
      <c r="I116" s="60">
        <v>7.6784722222222728</v>
      </c>
      <c r="J116" s="165">
        <v>10.4</v>
      </c>
      <c r="K116" s="14">
        <v>-1.5</v>
      </c>
      <c r="L116" s="50">
        <v>4.2459722222222078</v>
      </c>
      <c r="M116" s="66">
        <v>97.7</v>
      </c>
      <c r="N116" s="24">
        <v>56.3</v>
      </c>
      <c r="O116" s="62">
        <v>80.152361111111205</v>
      </c>
      <c r="P116" s="377">
        <v>1022.1315618157</v>
      </c>
      <c r="Q116" s="21">
        <v>1006.34867572268</v>
      </c>
      <c r="R116" s="383">
        <v>1014.8337926496988</v>
      </c>
      <c r="S116" s="54">
        <v>7.8000000062400003</v>
      </c>
      <c r="T116" s="47">
        <v>4.7033333370959998</v>
      </c>
      <c r="U116" s="25">
        <v>1.4923600985174887</v>
      </c>
      <c r="V116" s="175" t="s">
        <v>209</v>
      </c>
      <c r="W116" s="198" t="s">
        <v>214</v>
      </c>
      <c r="X116" s="26">
        <v>6</v>
      </c>
      <c r="Y116" s="27">
        <v>0.9</v>
      </c>
      <c r="Z116" s="28">
        <v>0</v>
      </c>
      <c r="AA116" s="396">
        <v>0</v>
      </c>
      <c r="AB116" s="261" t="s">
        <v>252</v>
      </c>
      <c r="AC116" s="200"/>
    </row>
    <row r="117" spans="1:29" s="20" customFormat="1" x14ac:dyDescent="0.3">
      <c r="A117" s="370">
        <v>45406</v>
      </c>
      <c r="B117" s="37">
        <v>7.3</v>
      </c>
      <c r="C117" s="14">
        <v>13.2</v>
      </c>
      <c r="D117" s="14">
        <v>7.6</v>
      </c>
      <c r="E117" s="14">
        <v>13.3</v>
      </c>
      <c r="F117" s="14">
        <v>6.2</v>
      </c>
      <c r="G117" s="58">
        <f t="shared" si="5"/>
        <v>7.1000000000000005</v>
      </c>
      <c r="H117" s="58">
        <f t="shared" si="6"/>
        <v>8.9250000000000007</v>
      </c>
      <c r="I117" s="60">
        <v>8.6787499999999778</v>
      </c>
      <c r="J117" s="165">
        <v>9.9</v>
      </c>
      <c r="K117" s="14">
        <v>4.9000000000000004</v>
      </c>
      <c r="L117" s="50">
        <v>7.0678472222222428</v>
      </c>
      <c r="M117" s="66">
        <v>96.2</v>
      </c>
      <c r="N117" s="24">
        <v>73.900000000000006</v>
      </c>
      <c r="O117" s="62">
        <v>89.869722222222109</v>
      </c>
      <c r="P117" s="377">
        <v>1006.38280196215</v>
      </c>
      <c r="Q117" s="21">
        <v>1000.63415379717</v>
      </c>
      <c r="R117" s="383">
        <v>1002.2109983108757</v>
      </c>
      <c r="S117" s="54">
        <v>5.10000000408</v>
      </c>
      <c r="T117" s="47">
        <v>2.80000000224</v>
      </c>
      <c r="U117" s="25">
        <v>0.96954941938029804</v>
      </c>
      <c r="V117" s="175" t="s">
        <v>210</v>
      </c>
      <c r="W117" s="198" t="s">
        <v>214</v>
      </c>
      <c r="X117" s="26">
        <v>12</v>
      </c>
      <c r="Y117" s="27">
        <v>5.9</v>
      </c>
      <c r="Z117" s="28">
        <v>0</v>
      </c>
      <c r="AA117" s="396">
        <v>0</v>
      </c>
      <c r="AB117" s="261" t="s">
        <v>216</v>
      </c>
      <c r="AC117" s="200"/>
    </row>
    <row r="118" spans="1:29" s="20" customFormat="1" x14ac:dyDescent="0.3">
      <c r="A118" s="370">
        <v>45407</v>
      </c>
      <c r="B118" s="37">
        <v>5.0999999999999996</v>
      </c>
      <c r="C118" s="14">
        <v>10.9</v>
      </c>
      <c r="D118" s="14">
        <v>3.8</v>
      </c>
      <c r="E118" s="14">
        <v>14.5</v>
      </c>
      <c r="F118" s="14">
        <v>1.5</v>
      </c>
      <c r="G118" s="58">
        <f t="shared" si="5"/>
        <v>13</v>
      </c>
      <c r="H118" s="58">
        <f t="shared" si="6"/>
        <v>5.9</v>
      </c>
      <c r="I118" s="60">
        <v>7.0271527777777782</v>
      </c>
      <c r="J118" s="165">
        <v>10.8</v>
      </c>
      <c r="K118" s="14">
        <v>0.6</v>
      </c>
      <c r="L118" s="50">
        <v>4.8768055555555643</v>
      </c>
      <c r="M118" s="66">
        <v>98.1</v>
      </c>
      <c r="N118" s="24">
        <v>62.4</v>
      </c>
      <c r="O118" s="62">
        <v>86.994444444444341</v>
      </c>
      <c r="P118" s="377">
        <v>1010.70424484091</v>
      </c>
      <c r="Q118" s="21">
        <v>1002.9778061384</v>
      </c>
      <c r="R118" s="383">
        <v>1006.9483648598336</v>
      </c>
      <c r="S118" s="54">
        <v>5.10000000408</v>
      </c>
      <c r="T118" s="47">
        <v>3.3033333359759993</v>
      </c>
      <c r="U118" s="25">
        <v>0.93762112478110649</v>
      </c>
      <c r="V118" s="175" t="s">
        <v>209</v>
      </c>
      <c r="W118" s="198" t="s">
        <v>214</v>
      </c>
      <c r="X118" s="26">
        <v>6</v>
      </c>
      <c r="Y118" s="27">
        <v>0.2</v>
      </c>
      <c r="Z118" s="28">
        <v>0</v>
      </c>
      <c r="AA118" s="396">
        <v>0</v>
      </c>
      <c r="AB118" s="261" t="s">
        <v>293</v>
      </c>
      <c r="AC118" s="200"/>
    </row>
    <row r="119" spans="1:29" s="20" customFormat="1" x14ac:dyDescent="0.3">
      <c r="A119" s="370">
        <v>45408</v>
      </c>
      <c r="B119" s="37">
        <v>3.8</v>
      </c>
      <c r="C119" s="14">
        <v>15.7</v>
      </c>
      <c r="D119" s="14">
        <v>7</v>
      </c>
      <c r="E119" s="14">
        <v>16.899999999999999</v>
      </c>
      <c r="F119" s="14">
        <v>1.2</v>
      </c>
      <c r="G119" s="58">
        <f t="shared" si="5"/>
        <v>15.7</v>
      </c>
      <c r="H119" s="58">
        <f t="shared" si="6"/>
        <v>8.375</v>
      </c>
      <c r="I119" s="60">
        <v>8.5876388888888915</v>
      </c>
      <c r="J119" s="165">
        <v>10.3</v>
      </c>
      <c r="K119" s="14">
        <v>0.3</v>
      </c>
      <c r="L119" s="50">
        <v>4.8163194444444324</v>
      </c>
      <c r="M119" s="66">
        <v>98.2</v>
      </c>
      <c r="N119" s="24">
        <v>47.6</v>
      </c>
      <c r="O119" s="62">
        <v>79.389305555555623</v>
      </c>
      <c r="P119" s="377">
        <v>1015.29957518296</v>
      </c>
      <c r="Q119" s="21">
        <v>1010.2009109525</v>
      </c>
      <c r="R119" s="383">
        <v>1012.209893620003</v>
      </c>
      <c r="S119" s="54">
        <v>6.8000000054400003</v>
      </c>
      <c r="T119" s="47">
        <v>4.7383333371239997</v>
      </c>
      <c r="U119" s="25">
        <v>1.3425696980437543</v>
      </c>
      <c r="V119" s="175" t="s">
        <v>209</v>
      </c>
      <c r="W119" s="198"/>
      <c r="X119" s="26">
        <v>0</v>
      </c>
      <c r="Y119" s="27">
        <v>0</v>
      </c>
      <c r="Z119" s="28">
        <v>0</v>
      </c>
      <c r="AA119" s="396">
        <v>0</v>
      </c>
      <c r="AB119" s="261" t="s">
        <v>278</v>
      </c>
      <c r="AC119" s="200"/>
    </row>
    <row r="120" spans="1:29" s="20" customFormat="1" x14ac:dyDescent="0.3">
      <c r="A120" s="370">
        <v>45409</v>
      </c>
      <c r="B120" s="37">
        <v>8.5</v>
      </c>
      <c r="C120" s="14">
        <v>19.5</v>
      </c>
      <c r="D120" s="14">
        <v>7.6</v>
      </c>
      <c r="E120" s="14">
        <v>20.5</v>
      </c>
      <c r="F120" s="14">
        <v>3.9</v>
      </c>
      <c r="G120" s="58">
        <f t="shared" si="5"/>
        <v>16.600000000000001</v>
      </c>
      <c r="H120" s="58">
        <f t="shared" si="6"/>
        <v>10.8</v>
      </c>
      <c r="I120" s="60">
        <v>11.199513888888877</v>
      </c>
      <c r="J120" s="165">
        <v>11.4</v>
      </c>
      <c r="K120" s="14">
        <v>2.7</v>
      </c>
      <c r="L120" s="50">
        <v>6.3699999999999992</v>
      </c>
      <c r="M120" s="66">
        <v>97.1</v>
      </c>
      <c r="N120" s="24">
        <v>46.7</v>
      </c>
      <c r="O120" s="62">
        <v>74.899097222222338</v>
      </c>
      <c r="P120" s="377">
        <v>1020.5896173528</v>
      </c>
      <c r="Q120" s="21">
        <v>1014.88997374062</v>
      </c>
      <c r="R120" s="383">
        <v>1017.3519568051637</v>
      </c>
      <c r="S120" s="54">
        <v>8.5000000068000006</v>
      </c>
      <c r="T120" s="47">
        <v>5.6700000045359999</v>
      </c>
      <c r="U120" s="25">
        <v>1.5833454734686629</v>
      </c>
      <c r="V120" s="175" t="s">
        <v>209</v>
      </c>
      <c r="W120" s="198"/>
      <c r="X120" s="26">
        <v>0</v>
      </c>
      <c r="Y120" s="27">
        <v>0</v>
      </c>
      <c r="Z120" s="28">
        <v>0</v>
      </c>
      <c r="AA120" s="396">
        <v>0</v>
      </c>
      <c r="AB120" s="261" t="s">
        <v>258</v>
      </c>
      <c r="AC120" s="200"/>
    </row>
    <row r="121" spans="1:29" s="20" customFormat="1" x14ac:dyDescent="0.3">
      <c r="A121" s="370">
        <v>45410</v>
      </c>
      <c r="B121" s="37">
        <v>7.1</v>
      </c>
      <c r="C121" s="14">
        <v>21.9</v>
      </c>
      <c r="D121" s="14">
        <v>10.3</v>
      </c>
      <c r="E121" s="14">
        <v>22.8</v>
      </c>
      <c r="F121" s="14">
        <v>1.3</v>
      </c>
      <c r="G121" s="58">
        <f t="shared" si="5"/>
        <v>21.5</v>
      </c>
      <c r="H121" s="58">
        <f t="shared" si="6"/>
        <v>12.4</v>
      </c>
      <c r="I121" s="60">
        <v>12.620208333333343</v>
      </c>
      <c r="J121" s="165">
        <v>13.3</v>
      </c>
      <c r="K121" s="14">
        <v>0.4</v>
      </c>
      <c r="L121" s="50">
        <v>7.466805555555557</v>
      </c>
      <c r="M121" s="66">
        <v>98</v>
      </c>
      <c r="N121" s="24">
        <v>47.5</v>
      </c>
      <c r="O121" s="62">
        <v>73.949513888888916</v>
      </c>
      <c r="P121" s="377">
        <v>1023.57374313152</v>
      </c>
      <c r="Q121" s="21">
        <v>1019.93085287372</v>
      </c>
      <c r="R121" s="383">
        <v>1021.2843224973341</v>
      </c>
      <c r="S121" s="54">
        <v>9.5000000076000006</v>
      </c>
      <c r="T121" s="47">
        <v>5.8300000046639999</v>
      </c>
      <c r="U121" s="25">
        <v>1.9671164615785504</v>
      </c>
      <c r="V121" s="175" t="s">
        <v>209</v>
      </c>
      <c r="W121" s="198"/>
      <c r="X121" s="26">
        <v>0</v>
      </c>
      <c r="Y121" s="27">
        <v>0</v>
      </c>
      <c r="Z121" s="28">
        <v>0</v>
      </c>
      <c r="AA121" s="396">
        <v>0</v>
      </c>
      <c r="AB121" s="261" t="s">
        <v>256</v>
      </c>
      <c r="AC121" s="200"/>
    </row>
    <row r="122" spans="1:29" s="20" customFormat="1" x14ac:dyDescent="0.3">
      <c r="A122" s="370">
        <v>45411</v>
      </c>
      <c r="B122" s="37">
        <v>9.6</v>
      </c>
      <c r="C122" s="14">
        <v>25.3</v>
      </c>
      <c r="D122" s="14">
        <v>11.4</v>
      </c>
      <c r="E122" s="14">
        <v>25.8</v>
      </c>
      <c r="F122" s="14">
        <v>3.8</v>
      </c>
      <c r="G122" s="58">
        <f t="shared" si="5"/>
        <v>22</v>
      </c>
      <c r="H122" s="58">
        <f t="shared" si="6"/>
        <v>14.425000000000001</v>
      </c>
      <c r="I122" s="60">
        <v>14.850069444444433</v>
      </c>
      <c r="J122" s="165">
        <v>15.8</v>
      </c>
      <c r="K122" s="14">
        <v>3</v>
      </c>
      <c r="L122" s="50">
        <v>8.7729861111111056</v>
      </c>
      <c r="M122" s="66">
        <v>98.2</v>
      </c>
      <c r="N122" s="24">
        <v>36.299999999999997</v>
      </c>
      <c r="O122" s="62">
        <v>71.581875000000039</v>
      </c>
      <c r="P122" s="377">
        <v>1026.6619001827801</v>
      </c>
      <c r="Q122" s="21">
        <v>1022.77321194707</v>
      </c>
      <c r="R122" s="383">
        <v>1024.4169015290249</v>
      </c>
      <c r="S122" s="54">
        <v>7.8000000062400003</v>
      </c>
      <c r="T122" s="47">
        <v>4.7833333371600002</v>
      </c>
      <c r="U122" s="25">
        <v>1.4700386765446589</v>
      </c>
      <c r="V122" s="175" t="s">
        <v>209</v>
      </c>
      <c r="W122" s="198"/>
      <c r="X122" s="26">
        <v>0</v>
      </c>
      <c r="Y122" s="27">
        <v>0</v>
      </c>
      <c r="Z122" s="28">
        <v>0</v>
      </c>
      <c r="AA122" s="396">
        <v>0</v>
      </c>
      <c r="AB122" s="261" t="s">
        <v>236</v>
      </c>
      <c r="AC122" s="200"/>
    </row>
    <row r="123" spans="1:29" s="257" customFormat="1" ht="15" thickBot="1" x14ac:dyDescent="0.35">
      <c r="A123" s="370">
        <v>45412</v>
      </c>
      <c r="B123" s="38">
        <v>11.5</v>
      </c>
      <c r="C123" s="22">
        <v>23.8</v>
      </c>
      <c r="D123" s="22">
        <v>9.6999999999999993</v>
      </c>
      <c r="E123" s="22">
        <v>24.5</v>
      </c>
      <c r="F123" s="22">
        <v>4.9000000000000004</v>
      </c>
      <c r="G123" s="256">
        <f t="shared" si="5"/>
        <v>19.600000000000001</v>
      </c>
      <c r="H123" s="256">
        <f>(B123+C123+2*D123)/4</f>
        <v>13.674999999999999</v>
      </c>
      <c r="I123" s="61">
        <v>14.617222222222201</v>
      </c>
      <c r="J123" s="166">
        <v>13.5</v>
      </c>
      <c r="K123" s="22">
        <v>4.0999999999999996</v>
      </c>
      <c r="L123" s="256">
        <v>7.7495833333333319</v>
      </c>
      <c r="M123" s="67">
        <v>98.6</v>
      </c>
      <c r="N123" s="52">
        <v>38.1</v>
      </c>
      <c r="O123" s="63">
        <v>68.03798611111101</v>
      </c>
      <c r="P123" s="381">
        <v>1028.4201066968899</v>
      </c>
      <c r="Q123" s="53">
        <v>1021.33729929425</v>
      </c>
      <c r="R123" s="388">
        <v>1024.9427522944395</v>
      </c>
      <c r="S123" s="56">
        <v>8.8000000070399995</v>
      </c>
      <c r="T123" s="49">
        <v>5.3533333376160002</v>
      </c>
      <c r="U123" s="39">
        <v>1.8073561558522946</v>
      </c>
      <c r="V123" s="176" t="s">
        <v>209</v>
      </c>
      <c r="W123" s="199"/>
      <c r="X123" s="40">
        <v>0</v>
      </c>
      <c r="Y123" s="41">
        <v>0</v>
      </c>
      <c r="Z123" s="42">
        <v>0</v>
      </c>
      <c r="AA123" s="399">
        <v>0</v>
      </c>
      <c r="AB123" s="262" t="s">
        <v>294</v>
      </c>
      <c r="AC123" s="404"/>
    </row>
    <row r="124" spans="1:29" s="326" customFormat="1" x14ac:dyDescent="0.3">
      <c r="A124" s="370">
        <v>45413</v>
      </c>
      <c r="B124" s="313">
        <v>14.4</v>
      </c>
      <c r="C124" s="314">
        <v>23.1</v>
      </c>
      <c r="D124" s="314">
        <v>10.7</v>
      </c>
      <c r="E124" s="314">
        <v>24</v>
      </c>
      <c r="F124" s="314">
        <v>3.4</v>
      </c>
      <c r="G124" s="315">
        <f t="shared" si="5"/>
        <v>20.6</v>
      </c>
      <c r="H124" s="315">
        <f>(B124+C124+2*D124)/4</f>
        <v>14.725</v>
      </c>
      <c r="I124" s="316">
        <v>14.963898662913465</v>
      </c>
      <c r="J124" s="336">
        <v>12.3</v>
      </c>
      <c r="K124" s="314">
        <v>2.4</v>
      </c>
      <c r="L124" s="315">
        <v>7.915974665728327</v>
      </c>
      <c r="M124" s="317">
        <v>98.6</v>
      </c>
      <c r="N124" s="318">
        <v>36.9</v>
      </c>
      <c r="O124" s="319">
        <v>66.660028149190637</v>
      </c>
      <c r="P124" s="380">
        <v>1023.29553599979</v>
      </c>
      <c r="Q124" s="320">
        <v>1013.69093628137</v>
      </c>
      <c r="R124" s="386">
        <v>1018.4487511390589</v>
      </c>
      <c r="S124" s="290">
        <v>10.900000008719999</v>
      </c>
      <c r="T124" s="291">
        <v>6.1733333382720001</v>
      </c>
      <c r="U124" s="291">
        <v>2.1380916047639009</v>
      </c>
      <c r="V124" s="292" t="s">
        <v>209</v>
      </c>
      <c r="W124" s="335"/>
      <c r="X124" s="322">
        <v>0</v>
      </c>
      <c r="Y124" s="323">
        <v>0</v>
      </c>
      <c r="Z124" s="324">
        <v>0</v>
      </c>
      <c r="AA124" s="398">
        <v>0</v>
      </c>
      <c r="AB124" s="325" t="s">
        <v>297</v>
      </c>
      <c r="AC124" s="402"/>
    </row>
    <row r="125" spans="1:29" s="20" customFormat="1" x14ac:dyDescent="0.3">
      <c r="A125" s="370">
        <v>45414</v>
      </c>
      <c r="B125" s="37">
        <v>14.6</v>
      </c>
      <c r="C125" s="14">
        <v>22.5</v>
      </c>
      <c r="D125" s="14">
        <v>11.2</v>
      </c>
      <c r="E125" s="14">
        <v>23.5</v>
      </c>
      <c r="F125" s="14">
        <v>6.5</v>
      </c>
      <c r="G125" s="58">
        <f t="shared" si="5"/>
        <v>17</v>
      </c>
      <c r="H125" s="58">
        <f t="shared" ref="H125:H152" si="7">(B125+C125+2*D125)/4</f>
        <v>14.875</v>
      </c>
      <c r="I125" s="60">
        <v>14.889236111111147</v>
      </c>
      <c r="J125" s="165">
        <v>12.3</v>
      </c>
      <c r="K125" s="14">
        <v>5.3</v>
      </c>
      <c r="L125" s="50">
        <v>7.9716666666666827</v>
      </c>
      <c r="M125" s="66">
        <v>95.6</v>
      </c>
      <c r="N125" s="24">
        <v>37.9</v>
      </c>
      <c r="O125" s="62">
        <v>67.123819444444422</v>
      </c>
      <c r="P125" s="377">
        <v>1015.24836648706</v>
      </c>
      <c r="Q125" s="21">
        <v>1008.52372382877</v>
      </c>
      <c r="R125" s="383">
        <v>1011.7620458739348</v>
      </c>
      <c r="S125" s="54">
        <v>10.500000008400001</v>
      </c>
      <c r="T125" s="47">
        <v>5.740000004591999</v>
      </c>
      <c r="U125" s="25">
        <v>1.9827944285052685</v>
      </c>
      <c r="V125" s="175" t="s">
        <v>209</v>
      </c>
      <c r="W125" s="196"/>
      <c r="X125" s="16">
        <v>0</v>
      </c>
      <c r="Y125" s="17">
        <v>0</v>
      </c>
      <c r="Z125" s="18">
        <v>0</v>
      </c>
      <c r="AA125" s="394">
        <v>0</v>
      </c>
      <c r="AB125" s="260" t="s">
        <v>265</v>
      </c>
      <c r="AC125" s="200"/>
    </row>
    <row r="126" spans="1:29" s="20" customFormat="1" x14ac:dyDescent="0.3">
      <c r="A126" s="370">
        <v>45415</v>
      </c>
      <c r="B126" s="37">
        <v>11.2</v>
      </c>
      <c r="C126" s="14">
        <v>26.1</v>
      </c>
      <c r="D126" s="14">
        <v>12.2</v>
      </c>
      <c r="E126" s="14">
        <v>26.7</v>
      </c>
      <c r="F126" s="14">
        <v>5.0999999999999996</v>
      </c>
      <c r="G126" s="58">
        <f t="shared" si="5"/>
        <v>21.6</v>
      </c>
      <c r="H126" s="58">
        <f t="shared" si="7"/>
        <v>15.424999999999999</v>
      </c>
      <c r="I126" s="60">
        <v>15.291944444444436</v>
      </c>
      <c r="J126" s="165">
        <v>16.899999999999999</v>
      </c>
      <c r="K126" s="14">
        <v>4.2</v>
      </c>
      <c r="L126" s="50">
        <v>9.5266666666666566</v>
      </c>
      <c r="M126" s="66">
        <v>97.3</v>
      </c>
      <c r="N126" s="24">
        <v>40.299999999999997</v>
      </c>
      <c r="O126" s="62">
        <v>71.676388888888852</v>
      </c>
      <c r="P126" s="377">
        <v>1010.76815932311</v>
      </c>
      <c r="Q126" s="21">
        <v>1006.23397956823</v>
      </c>
      <c r="R126" s="383">
        <v>1008.7589519924104</v>
      </c>
      <c r="S126" s="54">
        <v>5.10000000408</v>
      </c>
      <c r="T126" s="47">
        <v>3.3100000026480005</v>
      </c>
      <c r="U126" s="25">
        <v>0.76077251126825873</v>
      </c>
      <c r="V126" s="175" t="s">
        <v>209</v>
      </c>
      <c r="W126" s="196"/>
      <c r="X126" s="16">
        <v>0</v>
      </c>
      <c r="Y126" s="17">
        <v>0</v>
      </c>
      <c r="Z126" s="18">
        <v>0</v>
      </c>
      <c r="AA126" s="394">
        <v>0</v>
      </c>
      <c r="AB126" s="260" t="s">
        <v>298</v>
      </c>
      <c r="AC126" s="200"/>
    </row>
    <row r="127" spans="1:29" s="20" customFormat="1" x14ac:dyDescent="0.3">
      <c r="A127" s="370">
        <v>45416</v>
      </c>
      <c r="B127" s="37">
        <v>12.7</v>
      </c>
      <c r="C127" s="14">
        <v>27</v>
      </c>
      <c r="D127" s="14">
        <v>12.5</v>
      </c>
      <c r="E127" s="14">
        <v>27.4</v>
      </c>
      <c r="F127" s="14">
        <v>5.0999999999999996</v>
      </c>
      <c r="G127" s="58">
        <f t="shared" si="5"/>
        <v>22.299999999999997</v>
      </c>
      <c r="H127" s="58">
        <f t="shared" si="7"/>
        <v>16.175000000000001</v>
      </c>
      <c r="I127" s="60">
        <v>16.180416666666662</v>
      </c>
      <c r="J127" s="165">
        <v>16.2</v>
      </c>
      <c r="K127" s="14">
        <v>4</v>
      </c>
      <c r="L127" s="50">
        <v>9.3758333333333432</v>
      </c>
      <c r="M127" s="66">
        <v>96.5</v>
      </c>
      <c r="N127" s="24">
        <v>35.5</v>
      </c>
      <c r="O127" s="62">
        <v>67.999791666666638</v>
      </c>
      <c r="P127" s="377">
        <v>1014.64258417409</v>
      </c>
      <c r="Q127" s="21">
        <v>1010.23251954636</v>
      </c>
      <c r="R127" s="383">
        <v>1011.9803168210686</v>
      </c>
      <c r="S127" s="55">
        <v>6.8000000054400003</v>
      </c>
      <c r="T127" s="48">
        <v>4.0950000032760006</v>
      </c>
      <c r="U127" s="19">
        <v>1.2266149880613975</v>
      </c>
      <c r="V127" s="175" t="s">
        <v>209</v>
      </c>
      <c r="W127" s="197"/>
      <c r="X127" s="16">
        <v>0</v>
      </c>
      <c r="Y127" s="17">
        <v>0</v>
      </c>
      <c r="Z127" s="18">
        <v>0</v>
      </c>
      <c r="AA127" s="394">
        <v>0</v>
      </c>
      <c r="AB127" s="260" t="s">
        <v>265</v>
      </c>
      <c r="AC127" s="200"/>
    </row>
    <row r="128" spans="1:29" s="20" customFormat="1" x14ac:dyDescent="0.3">
      <c r="A128" s="370">
        <v>45417</v>
      </c>
      <c r="B128" s="37">
        <v>10.8</v>
      </c>
      <c r="C128" s="14">
        <v>25.2</v>
      </c>
      <c r="D128" s="14">
        <v>16.2</v>
      </c>
      <c r="E128" s="14">
        <v>26.1</v>
      </c>
      <c r="F128" s="14">
        <v>3.3</v>
      </c>
      <c r="G128" s="58">
        <f t="shared" si="5"/>
        <v>22.8</v>
      </c>
      <c r="H128" s="58">
        <f t="shared" si="7"/>
        <v>17.100000000000001</v>
      </c>
      <c r="I128" s="60">
        <v>16.034375000000018</v>
      </c>
      <c r="J128" s="165">
        <v>16.2</v>
      </c>
      <c r="K128" s="14">
        <v>2.2000000000000002</v>
      </c>
      <c r="L128" s="50">
        <v>9.66305555555555</v>
      </c>
      <c r="M128" s="66">
        <v>97.4</v>
      </c>
      <c r="N128" s="24">
        <v>43.6</v>
      </c>
      <c r="O128" s="62">
        <v>69.271805555555545</v>
      </c>
      <c r="P128" s="377">
        <v>1014.94203470208</v>
      </c>
      <c r="Q128" s="21">
        <v>1008.05428180621</v>
      </c>
      <c r="R128" s="383">
        <v>1011.4398055310494</v>
      </c>
      <c r="S128" s="54">
        <v>7.8000000062400003</v>
      </c>
      <c r="T128" s="47">
        <v>5.0550000040440004</v>
      </c>
      <c r="U128" s="25">
        <v>1.7439018295944668</v>
      </c>
      <c r="V128" s="175" t="s">
        <v>209</v>
      </c>
      <c r="W128" s="197" t="s">
        <v>239</v>
      </c>
      <c r="X128" s="16">
        <v>0</v>
      </c>
      <c r="Y128" s="17">
        <v>0</v>
      </c>
      <c r="Z128" s="18">
        <v>0</v>
      </c>
      <c r="AA128" s="394">
        <v>0</v>
      </c>
      <c r="AB128" s="260" t="s">
        <v>293</v>
      </c>
      <c r="AC128" s="200"/>
    </row>
    <row r="129" spans="1:29" s="20" customFormat="1" x14ac:dyDescent="0.3">
      <c r="A129" s="370">
        <v>45418</v>
      </c>
      <c r="B129" s="37">
        <v>14.9</v>
      </c>
      <c r="C129" s="14">
        <v>24.3</v>
      </c>
      <c r="D129" s="14">
        <v>13.4</v>
      </c>
      <c r="E129" s="14">
        <v>26.2</v>
      </c>
      <c r="F129" s="14">
        <v>8</v>
      </c>
      <c r="G129" s="58">
        <f t="shared" si="5"/>
        <v>18.2</v>
      </c>
      <c r="H129" s="58">
        <f t="shared" si="7"/>
        <v>16.5</v>
      </c>
      <c r="I129" s="60">
        <v>16.436527777777805</v>
      </c>
      <c r="J129" s="165">
        <v>16.8</v>
      </c>
      <c r="K129" s="14">
        <v>7.2</v>
      </c>
      <c r="L129" s="50">
        <v>12.459513888888889</v>
      </c>
      <c r="M129" s="66">
        <v>98.3</v>
      </c>
      <c r="N129" s="24">
        <v>44.5</v>
      </c>
      <c r="O129" s="62">
        <v>79.498402777777727</v>
      </c>
      <c r="P129" s="377">
        <v>1010.52542381759</v>
      </c>
      <c r="Q129" s="21">
        <v>1005.94022289997</v>
      </c>
      <c r="R129" s="383">
        <v>1008.1268142528268</v>
      </c>
      <c r="S129" s="54">
        <v>8.8000000070399995</v>
      </c>
      <c r="T129" s="47">
        <v>5.8566666713519995</v>
      </c>
      <c r="U129" s="25">
        <v>1.8098886482646517</v>
      </c>
      <c r="V129" s="175" t="s">
        <v>209</v>
      </c>
      <c r="W129" s="197" t="s">
        <v>214</v>
      </c>
      <c r="X129" s="16">
        <v>60</v>
      </c>
      <c r="Y129" s="17">
        <v>5</v>
      </c>
      <c r="Z129" s="18">
        <v>0</v>
      </c>
      <c r="AA129" s="394">
        <v>0</v>
      </c>
      <c r="AB129" s="260" t="s">
        <v>258</v>
      </c>
      <c r="AC129" s="200"/>
    </row>
    <row r="130" spans="1:29" s="20" customFormat="1" x14ac:dyDescent="0.3">
      <c r="A130" s="370">
        <v>45419</v>
      </c>
      <c r="B130" s="37">
        <v>12.7</v>
      </c>
      <c r="C130" s="14">
        <v>15.7</v>
      </c>
      <c r="D130" s="14">
        <v>11.2</v>
      </c>
      <c r="E130" s="14">
        <v>16.399999999999999</v>
      </c>
      <c r="F130" s="14">
        <v>7.9</v>
      </c>
      <c r="G130" s="58">
        <f t="shared" si="5"/>
        <v>8.4999999999999982</v>
      </c>
      <c r="H130" s="58">
        <f t="shared" si="7"/>
        <v>12.7</v>
      </c>
      <c r="I130" s="60">
        <v>12.989861111111138</v>
      </c>
      <c r="J130" s="165">
        <v>14.8</v>
      </c>
      <c r="K130" s="14">
        <v>7.2</v>
      </c>
      <c r="L130" s="50">
        <v>12.006249999999987</v>
      </c>
      <c r="M130" s="66">
        <v>98.8</v>
      </c>
      <c r="N130" s="24">
        <v>87.7</v>
      </c>
      <c r="O130" s="62">
        <v>93.806736111111121</v>
      </c>
      <c r="P130" s="377">
        <v>1017.8243367308201</v>
      </c>
      <c r="Q130" s="21">
        <v>1006.19773605428</v>
      </c>
      <c r="R130" s="383">
        <v>1011.3647208805656</v>
      </c>
      <c r="S130" s="54">
        <v>5.10000000408</v>
      </c>
      <c r="T130" s="47">
        <v>2.3200000018559996</v>
      </c>
      <c r="U130" s="25">
        <v>0.49250664772297942</v>
      </c>
      <c r="V130" s="175" t="s">
        <v>209</v>
      </c>
      <c r="W130" s="197" t="s">
        <v>214</v>
      </c>
      <c r="X130" s="16">
        <v>6</v>
      </c>
      <c r="Y130" s="17">
        <v>1.2</v>
      </c>
      <c r="Z130" s="18">
        <v>0</v>
      </c>
      <c r="AA130" s="394">
        <v>0</v>
      </c>
      <c r="AB130" s="260" t="s">
        <v>283</v>
      </c>
      <c r="AC130" s="200"/>
    </row>
    <row r="131" spans="1:29" s="20" customFormat="1" x14ac:dyDescent="0.3">
      <c r="A131" s="370">
        <v>45420</v>
      </c>
      <c r="B131" s="37">
        <v>11.8</v>
      </c>
      <c r="C131" s="14">
        <v>21.2</v>
      </c>
      <c r="D131" s="14">
        <v>10.5</v>
      </c>
      <c r="E131" s="14">
        <v>21.8</v>
      </c>
      <c r="F131" s="14">
        <v>5.7</v>
      </c>
      <c r="G131" s="58">
        <f t="shared" si="5"/>
        <v>16.100000000000001</v>
      </c>
      <c r="H131" s="58">
        <f t="shared" si="7"/>
        <v>13.5</v>
      </c>
      <c r="I131" s="60">
        <v>13.307777777777769</v>
      </c>
      <c r="J131" s="165">
        <v>14.6</v>
      </c>
      <c r="K131" s="14">
        <v>3.8</v>
      </c>
      <c r="L131" s="50">
        <v>8.7235416666666747</v>
      </c>
      <c r="M131" s="66">
        <v>97.9</v>
      </c>
      <c r="N131" s="24">
        <v>50.3</v>
      </c>
      <c r="O131" s="62">
        <v>75.729166666666572</v>
      </c>
      <c r="P131" s="377">
        <v>1022.01307241174</v>
      </c>
      <c r="Q131" s="21">
        <v>1017.34934989306</v>
      </c>
      <c r="R131" s="383">
        <v>1018.5508432332952</v>
      </c>
      <c r="S131" s="54">
        <v>7.5000000059999996</v>
      </c>
      <c r="T131" s="47">
        <v>4.5366666702959995</v>
      </c>
      <c r="U131" s="25">
        <v>1.7283806763037972</v>
      </c>
      <c r="V131" s="175" t="s">
        <v>210</v>
      </c>
      <c r="W131" s="197"/>
      <c r="X131" s="16">
        <v>0</v>
      </c>
      <c r="Y131" s="17">
        <v>0</v>
      </c>
      <c r="Z131" s="18">
        <v>0</v>
      </c>
      <c r="AA131" s="394">
        <v>0</v>
      </c>
      <c r="AB131" s="260" t="s">
        <v>252</v>
      </c>
      <c r="AC131" s="200"/>
    </row>
    <row r="132" spans="1:29" s="20" customFormat="1" x14ac:dyDescent="0.3">
      <c r="A132" s="370">
        <v>45421</v>
      </c>
      <c r="B132" s="37">
        <v>12.4</v>
      </c>
      <c r="C132" s="14">
        <v>23.3</v>
      </c>
      <c r="D132" s="14">
        <v>10.1</v>
      </c>
      <c r="E132" s="14">
        <v>23.6</v>
      </c>
      <c r="F132" s="14">
        <v>2.7</v>
      </c>
      <c r="G132" s="58">
        <f t="shared" si="5"/>
        <v>20.900000000000002</v>
      </c>
      <c r="H132" s="58">
        <f t="shared" si="7"/>
        <v>13.975000000000001</v>
      </c>
      <c r="I132" s="60">
        <v>13.488194444444453</v>
      </c>
      <c r="J132" s="165">
        <v>12.6</v>
      </c>
      <c r="K132" s="14">
        <v>1.7</v>
      </c>
      <c r="L132" s="50">
        <v>6.6314583333333363</v>
      </c>
      <c r="M132" s="66">
        <v>96.9</v>
      </c>
      <c r="N132" s="24">
        <v>38.4</v>
      </c>
      <c r="O132" s="62">
        <v>66.899305555555443</v>
      </c>
      <c r="P132" s="377">
        <v>1022.72256468993</v>
      </c>
      <c r="Q132" s="21">
        <v>1019.04008245645</v>
      </c>
      <c r="R132" s="383">
        <v>1020.9990777031295</v>
      </c>
      <c r="S132" s="54">
        <v>8.2000000065599998</v>
      </c>
      <c r="T132" s="47">
        <v>5.3666666709600008</v>
      </c>
      <c r="U132" s="25">
        <v>1.7691897151465403</v>
      </c>
      <c r="V132" s="175" t="s">
        <v>209</v>
      </c>
      <c r="W132" s="197"/>
      <c r="X132" s="16">
        <v>0</v>
      </c>
      <c r="Y132" s="17">
        <v>0</v>
      </c>
      <c r="Z132" s="18">
        <v>0</v>
      </c>
      <c r="AA132" s="394">
        <v>0</v>
      </c>
      <c r="AB132" s="260" t="s">
        <v>236</v>
      </c>
      <c r="AC132" s="200"/>
    </row>
    <row r="133" spans="1:29" s="20" customFormat="1" x14ac:dyDescent="0.3">
      <c r="A133" s="370">
        <v>45422</v>
      </c>
      <c r="B133" s="37">
        <v>9.1</v>
      </c>
      <c r="C133" s="14">
        <v>23.4</v>
      </c>
      <c r="D133" s="14">
        <v>12.8</v>
      </c>
      <c r="E133" s="14">
        <v>23.6</v>
      </c>
      <c r="F133" s="14">
        <v>1.1000000000000001</v>
      </c>
      <c r="G133" s="58">
        <f t="shared" si="5"/>
        <v>22.5</v>
      </c>
      <c r="H133" s="58">
        <f t="shared" si="7"/>
        <v>14.525</v>
      </c>
      <c r="I133" s="60">
        <v>13.555833333333338</v>
      </c>
      <c r="J133" s="165">
        <v>13</v>
      </c>
      <c r="K133" s="14">
        <v>0</v>
      </c>
      <c r="L133" s="50">
        <v>6.9997916666666713</v>
      </c>
      <c r="M133" s="66">
        <v>96.9</v>
      </c>
      <c r="N133" s="24">
        <v>38.5</v>
      </c>
      <c r="O133" s="62">
        <v>67.754305555555561</v>
      </c>
      <c r="P133" s="377">
        <v>1022.74239910648</v>
      </c>
      <c r="Q133" s="21">
        <v>1017.61745718518</v>
      </c>
      <c r="R133" s="383">
        <v>1020.3719534923991</v>
      </c>
      <c r="S133" s="54">
        <v>4.4000000035199998</v>
      </c>
      <c r="T133" s="47">
        <v>2.1000000016799998</v>
      </c>
      <c r="U133" s="25">
        <v>0.77801212183453294</v>
      </c>
      <c r="V133" s="175" t="s">
        <v>209</v>
      </c>
      <c r="W133" s="197"/>
      <c r="X133" s="16">
        <v>0</v>
      </c>
      <c r="Y133" s="17">
        <v>0</v>
      </c>
      <c r="Z133" s="18">
        <v>0</v>
      </c>
      <c r="AA133" s="394">
        <v>0</v>
      </c>
      <c r="AB133" s="260" t="s">
        <v>297</v>
      </c>
      <c r="AC133" s="200"/>
    </row>
    <row r="134" spans="1:29" s="20" customFormat="1" x14ac:dyDescent="0.3">
      <c r="A134" s="370">
        <v>45423</v>
      </c>
      <c r="B134" s="37">
        <v>9.5</v>
      </c>
      <c r="C134" s="14">
        <v>18.7</v>
      </c>
      <c r="D134" s="14">
        <v>11.8</v>
      </c>
      <c r="E134" s="14">
        <v>22.2</v>
      </c>
      <c r="F134" s="14">
        <v>4.4000000000000004</v>
      </c>
      <c r="G134" s="58">
        <f t="shared" si="5"/>
        <v>17.799999999999997</v>
      </c>
      <c r="H134" s="58">
        <f t="shared" si="7"/>
        <v>12.95</v>
      </c>
      <c r="I134" s="60">
        <v>12.992708333333319</v>
      </c>
      <c r="J134" s="165">
        <v>15.2</v>
      </c>
      <c r="K134" s="14">
        <v>3.1</v>
      </c>
      <c r="L134" s="50">
        <v>9.4877083333333321</v>
      </c>
      <c r="M134" s="66">
        <v>95.1</v>
      </c>
      <c r="N134" s="24">
        <v>54.8</v>
      </c>
      <c r="O134" s="62">
        <v>80.46159722222211</v>
      </c>
      <c r="P134" s="377">
        <v>1020.89680796703</v>
      </c>
      <c r="Q134" s="21">
        <v>1017.70238434294</v>
      </c>
      <c r="R134" s="383">
        <v>1019.3317937168091</v>
      </c>
      <c r="S134" s="54">
        <v>8.2000000065599998</v>
      </c>
      <c r="T134" s="47">
        <v>5.2733333375520006</v>
      </c>
      <c r="U134" s="25">
        <v>1.0649867061940321</v>
      </c>
      <c r="V134" s="175" t="s">
        <v>209</v>
      </c>
      <c r="W134" s="197" t="s">
        <v>214</v>
      </c>
      <c r="X134" s="16">
        <v>6</v>
      </c>
      <c r="Y134" s="17">
        <v>0.2</v>
      </c>
      <c r="Z134" s="18">
        <v>0</v>
      </c>
      <c r="AA134" s="394">
        <v>0</v>
      </c>
      <c r="AB134" s="260" t="s">
        <v>258</v>
      </c>
      <c r="AC134" s="200"/>
    </row>
    <row r="135" spans="1:29" s="20" customFormat="1" x14ac:dyDescent="0.3">
      <c r="A135" s="370">
        <v>45424</v>
      </c>
      <c r="B135" s="37">
        <v>11.5</v>
      </c>
      <c r="C135" s="14">
        <v>23.3</v>
      </c>
      <c r="D135" s="14">
        <v>7.6</v>
      </c>
      <c r="E135" s="14">
        <v>23.9</v>
      </c>
      <c r="F135" s="14">
        <v>1.7</v>
      </c>
      <c r="G135" s="58">
        <f t="shared" si="5"/>
        <v>22.2</v>
      </c>
      <c r="H135" s="58">
        <f t="shared" si="7"/>
        <v>12.5</v>
      </c>
      <c r="I135" s="60">
        <v>13.104097222222206</v>
      </c>
      <c r="J135" s="165">
        <v>9.9</v>
      </c>
      <c r="K135" s="14">
        <v>-0.6</v>
      </c>
      <c r="L135" s="50">
        <v>5.3242361111110998</v>
      </c>
      <c r="M135" s="66">
        <v>96.8</v>
      </c>
      <c r="N135" s="24">
        <v>35.799999999999997</v>
      </c>
      <c r="O135" s="62">
        <v>63.892986111110915</v>
      </c>
      <c r="P135" s="377">
        <v>1022.42964812783</v>
      </c>
      <c r="Q135" s="21">
        <v>1018.5287215158299</v>
      </c>
      <c r="R135" s="383">
        <v>1020.2733540084564</v>
      </c>
      <c r="S135" s="54">
        <v>8.8000000070399995</v>
      </c>
      <c r="T135" s="47">
        <v>5.3066666709120005</v>
      </c>
      <c r="U135" s="25">
        <v>1.9234964709812061</v>
      </c>
      <c r="V135" s="175" t="s">
        <v>209</v>
      </c>
      <c r="W135" s="197"/>
      <c r="X135" s="16">
        <v>0</v>
      </c>
      <c r="Y135" s="17">
        <v>0</v>
      </c>
      <c r="Z135" s="18">
        <v>0</v>
      </c>
      <c r="AA135" s="394">
        <v>0</v>
      </c>
      <c r="AB135" s="260" t="s">
        <v>236</v>
      </c>
      <c r="AC135" s="200"/>
    </row>
    <row r="136" spans="1:29" s="20" customFormat="1" x14ac:dyDescent="0.3">
      <c r="A136" s="370">
        <v>45425</v>
      </c>
      <c r="B136" s="37">
        <v>6.4</v>
      </c>
      <c r="C136" s="14">
        <v>22.5</v>
      </c>
      <c r="D136" s="14">
        <v>8.8000000000000007</v>
      </c>
      <c r="E136" s="14">
        <v>24.8</v>
      </c>
      <c r="F136" s="14">
        <v>-1.3</v>
      </c>
      <c r="G136" s="58">
        <f t="shared" si="5"/>
        <v>26.1</v>
      </c>
      <c r="H136" s="58">
        <f t="shared" si="7"/>
        <v>11.625</v>
      </c>
      <c r="I136" s="60">
        <v>11.572638888888893</v>
      </c>
      <c r="J136" s="165">
        <v>9.1</v>
      </c>
      <c r="K136" s="14">
        <v>-2.7</v>
      </c>
      <c r="L136" s="50">
        <v>3.799513888888892</v>
      </c>
      <c r="M136" s="66">
        <v>95</v>
      </c>
      <c r="N136" s="24">
        <v>32.4</v>
      </c>
      <c r="O136" s="62">
        <v>64.068958333333356</v>
      </c>
      <c r="P136" s="377">
        <v>1022.7159700041</v>
      </c>
      <c r="Q136" s="21">
        <v>1014.91704661748</v>
      </c>
      <c r="R136" s="383">
        <v>1018.8235779323177</v>
      </c>
      <c r="S136" s="54">
        <v>4.4000000035199998</v>
      </c>
      <c r="T136" s="47">
        <v>2.4666666686399998</v>
      </c>
      <c r="U136" s="25">
        <v>0.84860606128494775</v>
      </c>
      <c r="V136" s="175" t="s">
        <v>209</v>
      </c>
      <c r="W136" s="198"/>
      <c r="X136" s="26">
        <v>0</v>
      </c>
      <c r="Y136" s="27">
        <v>0</v>
      </c>
      <c r="Z136" s="28">
        <v>0</v>
      </c>
      <c r="AA136" s="396">
        <v>0</v>
      </c>
      <c r="AB136" s="261" t="s">
        <v>299</v>
      </c>
      <c r="AC136" s="200"/>
    </row>
    <row r="137" spans="1:29" s="20" customFormat="1" x14ac:dyDescent="0.3">
      <c r="A137" s="370">
        <v>45426</v>
      </c>
      <c r="B137" s="37">
        <v>8.3000000000000007</v>
      </c>
      <c r="C137" s="14">
        <v>26.5</v>
      </c>
      <c r="D137" s="14">
        <v>12.7</v>
      </c>
      <c r="E137" s="14">
        <v>27.6</v>
      </c>
      <c r="F137" s="14">
        <v>0.5</v>
      </c>
      <c r="G137" s="58">
        <f t="shared" si="5"/>
        <v>27.1</v>
      </c>
      <c r="H137" s="58">
        <f t="shared" si="7"/>
        <v>15.049999999999999</v>
      </c>
      <c r="I137" s="60">
        <v>13.624513888888881</v>
      </c>
      <c r="J137" s="165">
        <v>11.7</v>
      </c>
      <c r="K137" s="14">
        <v>-0.7</v>
      </c>
      <c r="L137" s="50">
        <v>5.5465972222222177</v>
      </c>
      <c r="M137" s="66">
        <v>95.8</v>
      </c>
      <c r="N137" s="24">
        <v>32.299999999999997</v>
      </c>
      <c r="O137" s="62">
        <v>62.851111111111067</v>
      </c>
      <c r="P137" s="377">
        <v>1017.6641684270101</v>
      </c>
      <c r="Q137" s="21">
        <v>1013.04462624005</v>
      </c>
      <c r="R137" s="383">
        <v>1015.4686277007581</v>
      </c>
      <c r="S137" s="54">
        <v>6.8000000054400003</v>
      </c>
      <c r="T137" s="47">
        <v>4.1333333366400007</v>
      </c>
      <c r="U137" s="25">
        <v>1.2972040678496779</v>
      </c>
      <c r="V137" s="175" t="s">
        <v>209</v>
      </c>
      <c r="W137" s="198"/>
      <c r="X137" s="26">
        <v>0</v>
      </c>
      <c r="Y137" s="27">
        <v>0</v>
      </c>
      <c r="Z137" s="28">
        <v>0</v>
      </c>
      <c r="AA137" s="396">
        <v>0</v>
      </c>
      <c r="AB137" s="261" t="s">
        <v>236</v>
      </c>
      <c r="AC137" s="200"/>
    </row>
    <row r="138" spans="1:29" s="20" customFormat="1" x14ac:dyDescent="0.3">
      <c r="A138" s="370">
        <v>45427</v>
      </c>
      <c r="B138" s="37">
        <v>9.4</v>
      </c>
      <c r="C138" s="14">
        <v>25.4</v>
      </c>
      <c r="D138" s="14">
        <v>15</v>
      </c>
      <c r="E138" s="14">
        <v>26.9</v>
      </c>
      <c r="F138" s="14">
        <v>1.3</v>
      </c>
      <c r="G138" s="58">
        <f t="shared" si="5"/>
        <v>25.599999999999998</v>
      </c>
      <c r="H138" s="58">
        <f t="shared" si="7"/>
        <v>16.2</v>
      </c>
      <c r="I138" s="60">
        <v>14.408646350106297</v>
      </c>
      <c r="J138" s="165">
        <v>11.3</v>
      </c>
      <c r="K138" s="14">
        <v>0</v>
      </c>
      <c r="L138" s="50">
        <v>6.8662650602409494</v>
      </c>
      <c r="M138" s="66">
        <v>94.5</v>
      </c>
      <c r="N138" s="24">
        <v>32.6</v>
      </c>
      <c r="O138" s="62">
        <v>64.913890857547798</v>
      </c>
      <c r="P138" s="377">
        <v>1018.2591530142701</v>
      </c>
      <c r="Q138" s="21">
        <v>1014.2488474811</v>
      </c>
      <c r="R138" s="383">
        <v>1016.2493410846995</v>
      </c>
      <c r="S138" s="54">
        <v>6.8000000054400003</v>
      </c>
      <c r="T138" s="47">
        <v>3.2766666692879993</v>
      </c>
      <c r="U138" s="25">
        <v>1.1124787578698283</v>
      </c>
      <c r="V138" s="175" t="s">
        <v>209</v>
      </c>
      <c r="W138" s="198" t="s">
        <v>239</v>
      </c>
      <c r="X138" s="26">
        <v>0</v>
      </c>
      <c r="Y138" s="27">
        <v>0</v>
      </c>
      <c r="Z138" s="28">
        <v>0</v>
      </c>
      <c r="AA138" s="396">
        <v>0</v>
      </c>
      <c r="AB138" s="261" t="s">
        <v>300</v>
      </c>
      <c r="AC138" s="200"/>
    </row>
    <row r="139" spans="1:29" s="20" customFormat="1" x14ac:dyDescent="0.3">
      <c r="A139" s="370">
        <v>45428</v>
      </c>
      <c r="B139" s="37">
        <v>11.5</v>
      </c>
      <c r="C139" s="14">
        <v>23.8</v>
      </c>
      <c r="D139" s="14">
        <v>10.7</v>
      </c>
      <c r="E139" s="14">
        <v>24.2</v>
      </c>
      <c r="F139" s="14">
        <v>4.2</v>
      </c>
      <c r="G139" s="58">
        <f t="shared" si="5"/>
        <v>20</v>
      </c>
      <c r="H139" s="58">
        <f t="shared" si="7"/>
        <v>14.174999999999999</v>
      </c>
      <c r="I139" s="60">
        <v>14.528611111111115</v>
      </c>
      <c r="J139" s="165">
        <v>12.2</v>
      </c>
      <c r="K139" s="14">
        <v>3.3</v>
      </c>
      <c r="L139" s="50">
        <v>7.9648611111110919</v>
      </c>
      <c r="M139" s="66">
        <v>96.8</v>
      </c>
      <c r="N139" s="24">
        <v>40.200000000000003</v>
      </c>
      <c r="O139" s="62">
        <v>68.632708333333269</v>
      </c>
      <c r="P139" s="377">
        <v>1019.75263892769</v>
      </c>
      <c r="Q139" s="21">
        <v>1015.00494956395</v>
      </c>
      <c r="R139" s="383">
        <v>1017.3124629789443</v>
      </c>
      <c r="S139" s="54">
        <v>8.5000000068000006</v>
      </c>
      <c r="T139" s="47">
        <v>4.9633333373039994</v>
      </c>
      <c r="U139" s="25">
        <v>1.6157657670583765</v>
      </c>
      <c r="V139" s="175" t="s">
        <v>209</v>
      </c>
      <c r="W139" s="198"/>
      <c r="X139" s="26">
        <v>0</v>
      </c>
      <c r="Y139" s="27">
        <v>0</v>
      </c>
      <c r="Z139" s="28">
        <v>0</v>
      </c>
      <c r="AA139" s="396">
        <v>0</v>
      </c>
      <c r="AB139" s="261" t="s">
        <v>236</v>
      </c>
      <c r="AC139" s="200"/>
    </row>
    <row r="140" spans="1:29" s="20" customFormat="1" x14ac:dyDescent="0.3">
      <c r="A140" s="370">
        <v>45429</v>
      </c>
      <c r="B140" s="37">
        <v>11.6</v>
      </c>
      <c r="C140" s="14">
        <v>17.600000000000001</v>
      </c>
      <c r="D140" s="14">
        <v>11.1</v>
      </c>
      <c r="E140" s="14">
        <v>23.2</v>
      </c>
      <c r="F140" s="14">
        <v>3.4</v>
      </c>
      <c r="G140" s="58">
        <f t="shared" si="5"/>
        <v>19.8</v>
      </c>
      <c r="H140" s="58">
        <f t="shared" si="7"/>
        <v>12.850000000000001</v>
      </c>
      <c r="I140" s="60">
        <v>12.143888888888892</v>
      </c>
      <c r="J140" s="165">
        <v>12.4</v>
      </c>
      <c r="K140" s="14">
        <v>2.4</v>
      </c>
      <c r="L140" s="50">
        <v>7.997083333333328</v>
      </c>
      <c r="M140" s="66">
        <v>96.8</v>
      </c>
      <c r="N140" s="24">
        <v>34.1</v>
      </c>
      <c r="O140" s="62">
        <v>79.650347222222138</v>
      </c>
      <c r="P140" s="377">
        <v>1017.49177335535</v>
      </c>
      <c r="Q140" s="21">
        <v>1013.4314727915799</v>
      </c>
      <c r="R140" s="383">
        <v>1015.119463740326</v>
      </c>
      <c r="S140" s="54">
        <v>12.60000001008</v>
      </c>
      <c r="T140" s="47">
        <v>5.5866666711360002</v>
      </c>
      <c r="U140" s="25">
        <v>1.4977212133193865</v>
      </c>
      <c r="V140" s="175" t="s">
        <v>209</v>
      </c>
      <c r="W140" s="198" t="s">
        <v>214</v>
      </c>
      <c r="X140" s="26">
        <v>54</v>
      </c>
      <c r="Y140" s="27">
        <v>6.8</v>
      </c>
      <c r="Z140" s="28">
        <v>0</v>
      </c>
      <c r="AA140" s="396">
        <v>0</v>
      </c>
      <c r="AB140" s="261" t="s">
        <v>258</v>
      </c>
      <c r="AC140" s="200"/>
    </row>
    <row r="141" spans="1:29" s="20" customFormat="1" x14ac:dyDescent="0.3">
      <c r="A141" s="370">
        <v>45430</v>
      </c>
      <c r="B141" s="37">
        <v>12.4</v>
      </c>
      <c r="C141" s="14">
        <v>22</v>
      </c>
      <c r="D141" s="14">
        <v>13.3</v>
      </c>
      <c r="E141" s="14">
        <v>22</v>
      </c>
      <c r="F141" s="14">
        <v>9.1999999999999993</v>
      </c>
      <c r="G141" s="58">
        <f t="shared" si="5"/>
        <v>12.8</v>
      </c>
      <c r="H141" s="58">
        <f t="shared" si="7"/>
        <v>15.25</v>
      </c>
      <c r="I141" s="60">
        <v>14.442499999999972</v>
      </c>
      <c r="J141" s="165">
        <v>16.3</v>
      </c>
      <c r="K141" s="14">
        <v>8.4</v>
      </c>
      <c r="L141" s="50">
        <v>12.203749999999976</v>
      </c>
      <c r="M141" s="66">
        <v>99.2</v>
      </c>
      <c r="N141" s="24">
        <v>65</v>
      </c>
      <c r="O141" s="62">
        <v>87.391458333333404</v>
      </c>
      <c r="P141" s="377">
        <v>1015.8020369091</v>
      </c>
      <c r="Q141" s="21">
        <v>1012.47761578095</v>
      </c>
      <c r="R141" s="383">
        <v>1013.9897999264842</v>
      </c>
      <c r="S141" s="54">
        <v>7.5000000059999996</v>
      </c>
      <c r="T141" s="47">
        <v>4.0166666698800002</v>
      </c>
      <c r="U141" s="25">
        <v>1.1369264393654819</v>
      </c>
      <c r="V141" s="175" t="s">
        <v>208</v>
      </c>
      <c r="W141" s="198"/>
      <c r="X141" s="26">
        <v>0</v>
      </c>
      <c r="Y141" s="27">
        <v>0</v>
      </c>
      <c r="Z141" s="28">
        <v>0</v>
      </c>
      <c r="AA141" s="396">
        <v>0</v>
      </c>
      <c r="AB141" s="261" t="s">
        <v>258</v>
      </c>
      <c r="AC141" s="200"/>
    </row>
    <row r="142" spans="1:29" s="20" customFormat="1" x14ac:dyDescent="0.3">
      <c r="A142" s="370">
        <v>45431</v>
      </c>
      <c r="B142" s="37">
        <v>10.4</v>
      </c>
      <c r="C142" s="14">
        <v>24.5</v>
      </c>
      <c r="D142" s="14">
        <v>13.3</v>
      </c>
      <c r="E142" s="14">
        <v>27.6</v>
      </c>
      <c r="F142" s="14">
        <v>9</v>
      </c>
      <c r="G142" s="58">
        <f t="shared" si="5"/>
        <v>18.600000000000001</v>
      </c>
      <c r="H142" s="58">
        <f t="shared" si="7"/>
        <v>15.375</v>
      </c>
      <c r="I142" s="60">
        <v>16.373958333333345</v>
      </c>
      <c r="J142" s="165">
        <v>18.399999999999999</v>
      </c>
      <c r="K142" s="14">
        <v>8.4</v>
      </c>
      <c r="L142" s="50">
        <v>13.222152777777756</v>
      </c>
      <c r="M142" s="66">
        <v>98.1</v>
      </c>
      <c r="N142" s="24">
        <v>52.6</v>
      </c>
      <c r="O142" s="62">
        <v>83.668472222222178</v>
      </c>
      <c r="P142" s="377">
        <v>1014.22135940486</v>
      </c>
      <c r="Q142" s="21">
        <v>1009.6705373557299</v>
      </c>
      <c r="R142" s="383">
        <v>1012.0467919539021</v>
      </c>
      <c r="S142" s="54">
        <v>6.5000000052000004</v>
      </c>
      <c r="T142" s="47">
        <v>4.4733333369119999</v>
      </c>
      <c r="U142" s="25">
        <v>1.0659888655344685</v>
      </c>
      <c r="V142" s="175" t="s">
        <v>209</v>
      </c>
      <c r="W142" s="198" t="s">
        <v>214</v>
      </c>
      <c r="X142" s="26">
        <v>24</v>
      </c>
      <c r="Y142" s="27">
        <v>1.3</v>
      </c>
      <c r="Z142" s="28">
        <v>0</v>
      </c>
      <c r="AA142" s="396">
        <v>0</v>
      </c>
      <c r="AB142" s="261" t="s">
        <v>301</v>
      </c>
      <c r="AC142" s="200"/>
    </row>
    <row r="143" spans="1:29" s="20" customFormat="1" x14ac:dyDescent="0.3">
      <c r="A143" s="370">
        <v>45432</v>
      </c>
      <c r="B143" s="37">
        <v>12.8</v>
      </c>
      <c r="C143" s="14">
        <v>20.7</v>
      </c>
      <c r="D143" s="14">
        <v>13.8</v>
      </c>
      <c r="E143" s="14">
        <v>25.5</v>
      </c>
      <c r="F143" s="14">
        <v>11.6</v>
      </c>
      <c r="G143" s="58">
        <f t="shared" si="5"/>
        <v>13.9</v>
      </c>
      <c r="H143" s="58">
        <f t="shared" si="7"/>
        <v>15.275</v>
      </c>
      <c r="I143" s="60">
        <v>15.767638888888955</v>
      </c>
      <c r="J143" s="165">
        <v>19.3</v>
      </c>
      <c r="K143" s="14">
        <v>11.2</v>
      </c>
      <c r="L143" s="50">
        <v>14.064930555555561</v>
      </c>
      <c r="M143" s="66">
        <v>99</v>
      </c>
      <c r="N143" s="24">
        <v>62.8</v>
      </c>
      <c r="O143" s="62">
        <v>90.48736111111117</v>
      </c>
      <c r="P143" s="377">
        <v>1014.01987496146</v>
      </c>
      <c r="Q143" s="21">
        <v>1011.24263248999</v>
      </c>
      <c r="R143" s="383">
        <v>1012.6745447314102</v>
      </c>
      <c r="S143" s="54">
        <v>7.8000000062400003</v>
      </c>
      <c r="T143" s="47">
        <v>4.9833333373200004</v>
      </c>
      <c r="U143" s="25">
        <v>0.94786076943124209</v>
      </c>
      <c r="V143" s="175" t="s">
        <v>209</v>
      </c>
      <c r="W143" s="198" t="s">
        <v>214</v>
      </c>
      <c r="X143" s="26">
        <v>54</v>
      </c>
      <c r="Y143" s="27">
        <v>5.3</v>
      </c>
      <c r="Z143" s="28">
        <v>0</v>
      </c>
      <c r="AA143" s="396">
        <v>0</v>
      </c>
      <c r="AB143" s="261" t="s">
        <v>302</v>
      </c>
      <c r="AC143" s="200"/>
    </row>
    <row r="144" spans="1:29" s="20" customFormat="1" x14ac:dyDescent="0.3">
      <c r="A144" s="370">
        <v>45433</v>
      </c>
      <c r="B144" s="37">
        <v>13.5</v>
      </c>
      <c r="C144" s="14">
        <v>25.6</v>
      </c>
      <c r="D144" s="14">
        <v>15.9</v>
      </c>
      <c r="E144" s="14">
        <v>27.1</v>
      </c>
      <c r="F144" s="14">
        <v>12.2</v>
      </c>
      <c r="G144" s="58">
        <f t="shared" si="5"/>
        <v>14.900000000000002</v>
      </c>
      <c r="H144" s="58">
        <f t="shared" si="7"/>
        <v>17.725000000000001</v>
      </c>
      <c r="I144" s="60">
        <v>18.324305555555554</v>
      </c>
      <c r="J144" s="165">
        <v>20.399999999999999</v>
      </c>
      <c r="K144" s="14">
        <v>11.8</v>
      </c>
      <c r="L144" s="50">
        <v>15.028055555555513</v>
      </c>
      <c r="M144" s="66">
        <v>99.3</v>
      </c>
      <c r="N144" s="24">
        <v>54.1</v>
      </c>
      <c r="O144" s="62">
        <v>83.222083333333316</v>
      </c>
      <c r="P144" s="377">
        <v>1014.14359620945</v>
      </c>
      <c r="Q144" s="21">
        <v>1008.25875529136</v>
      </c>
      <c r="R144" s="383">
        <v>1011.4236488616439</v>
      </c>
      <c r="S144" s="54">
        <v>5.4000000043199998</v>
      </c>
      <c r="T144" s="47">
        <v>3.2000000025599995</v>
      </c>
      <c r="U144" s="25">
        <v>0.97650689983713024</v>
      </c>
      <c r="V144" s="175" t="s">
        <v>209</v>
      </c>
      <c r="W144" s="198"/>
      <c r="X144" s="26">
        <v>0</v>
      </c>
      <c r="Y144" s="27">
        <v>0</v>
      </c>
      <c r="Z144" s="28">
        <v>0</v>
      </c>
      <c r="AA144" s="396">
        <v>0</v>
      </c>
      <c r="AB144" s="261" t="s">
        <v>278</v>
      </c>
      <c r="AC144" s="200"/>
    </row>
    <row r="145" spans="1:29" s="20" customFormat="1" x14ac:dyDescent="0.3">
      <c r="A145" s="370">
        <v>45434</v>
      </c>
      <c r="B145" s="37">
        <v>15.7</v>
      </c>
      <c r="C145" s="14">
        <v>20.2</v>
      </c>
      <c r="D145" s="14">
        <v>16.100000000000001</v>
      </c>
      <c r="E145" s="14">
        <v>23.6</v>
      </c>
      <c r="F145" s="14">
        <v>11.4</v>
      </c>
      <c r="G145" s="58">
        <f t="shared" si="5"/>
        <v>12.200000000000001</v>
      </c>
      <c r="H145" s="58">
        <f t="shared" si="7"/>
        <v>17.024999999999999</v>
      </c>
      <c r="I145" s="60">
        <v>16.696805555555567</v>
      </c>
      <c r="J145" s="165">
        <v>18.2</v>
      </c>
      <c r="K145" s="14">
        <v>10.9</v>
      </c>
      <c r="L145" s="50">
        <v>15.077986111111153</v>
      </c>
      <c r="M145" s="66">
        <v>99.9</v>
      </c>
      <c r="N145" s="24">
        <v>67.599999999999994</v>
      </c>
      <c r="O145" s="62">
        <v>90.670208333333392</v>
      </c>
      <c r="P145" s="377">
        <v>1011.00923818041</v>
      </c>
      <c r="Q145" s="21">
        <v>1008.52703586913</v>
      </c>
      <c r="R145" s="383">
        <v>1009.5927784255582</v>
      </c>
      <c r="S145" s="54">
        <v>8.5000000068000006</v>
      </c>
      <c r="T145" s="47">
        <v>4.8933333372480003</v>
      </c>
      <c r="U145" s="25">
        <v>1.6579260893399501</v>
      </c>
      <c r="V145" s="175" t="s">
        <v>208</v>
      </c>
      <c r="W145" s="198" t="s">
        <v>214</v>
      </c>
      <c r="X145" s="26">
        <v>6</v>
      </c>
      <c r="Y145" s="27">
        <v>1</v>
      </c>
      <c r="Z145" s="28">
        <v>0</v>
      </c>
      <c r="AA145" s="396">
        <v>0</v>
      </c>
      <c r="AB145" s="261" t="s">
        <v>260</v>
      </c>
      <c r="AC145" s="200"/>
    </row>
    <row r="146" spans="1:29" s="20" customFormat="1" x14ac:dyDescent="0.3">
      <c r="A146" s="370">
        <v>45435</v>
      </c>
      <c r="B146" s="37">
        <v>14.9</v>
      </c>
      <c r="C146" s="14">
        <v>20.5</v>
      </c>
      <c r="D146" s="14">
        <v>15.6</v>
      </c>
      <c r="E146" s="14">
        <v>23.5</v>
      </c>
      <c r="F146" s="14">
        <v>13.3</v>
      </c>
      <c r="G146" s="58">
        <f t="shared" si="5"/>
        <v>10.199999999999999</v>
      </c>
      <c r="H146" s="58">
        <f t="shared" si="7"/>
        <v>16.649999999999999</v>
      </c>
      <c r="I146" s="60">
        <v>16.916666666666689</v>
      </c>
      <c r="J146" s="165">
        <v>19.399999999999999</v>
      </c>
      <c r="K146" s="14">
        <v>12.9</v>
      </c>
      <c r="L146" s="50">
        <v>15.725138888888923</v>
      </c>
      <c r="M146" s="66">
        <v>99.2</v>
      </c>
      <c r="N146" s="24">
        <v>74.599999999999994</v>
      </c>
      <c r="O146" s="62">
        <v>93.017986111111</v>
      </c>
      <c r="P146" s="377">
        <v>1017.1645644228699</v>
      </c>
      <c r="Q146" s="21">
        <v>1010.80460115214</v>
      </c>
      <c r="R146" s="383">
        <v>1013.6432131775327</v>
      </c>
      <c r="S146" s="54">
        <v>4.4000000035199998</v>
      </c>
      <c r="T146" s="47">
        <v>2.7266666688479995</v>
      </c>
      <c r="U146" s="25">
        <v>0.58281213029330026</v>
      </c>
      <c r="V146" s="175" t="s">
        <v>209</v>
      </c>
      <c r="W146" s="198" t="s">
        <v>214</v>
      </c>
      <c r="X146" s="26">
        <v>12</v>
      </c>
      <c r="Y146" s="27">
        <v>1.2</v>
      </c>
      <c r="Z146" s="28">
        <v>0</v>
      </c>
      <c r="AA146" s="396">
        <v>0</v>
      </c>
      <c r="AB146" s="261" t="s">
        <v>260</v>
      </c>
      <c r="AC146" s="200"/>
    </row>
    <row r="147" spans="1:29" s="20" customFormat="1" x14ac:dyDescent="0.3">
      <c r="A147" s="370">
        <v>45436</v>
      </c>
      <c r="B147" s="37">
        <v>14.6</v>
      </c>
      <c r="C147" s="14">
        <v>26.5</v>
      </c>
      <c r="D147" s="14">
        <v>18.399999999999999</v>
      </c>
      <c r="E147" s="14">
        <v>27.2</v>
      </c>
      <c r="F147" s="14">
        <v>13.3</v>
      </c>
      <c r="G147" s="58">
        <f t="shared" si="5"/>
        <v>13.899999999999999</v>
      </c>
      <c r="H147" s="58">
        <f t="shared" si="7"/>
        <v>19.475000000000001</v>
      </c>
      <c r="I147" s="60">
        <v>18.982569444444476</v>
      </c>
      <c r="J147" s="165">
        <v>20.5</v>
      </c>
      <c r="K147" s="14">
        <v>12.6</v>
      </c>
      <c r="L147" s="50">
        <v>14.74784722222218</v>
      </c>
      <c r="M147" s="66">
        <v>99.4</v>
      </c>
      <c r="N147" s="24">
        <v>47.7</v>
      </c>
      <c r="O147" s="62">
        <v>78.665972222222379</v>
      </c>
      <c r="P147" s="377">
        <v>1020.25538718778</v>
      </c>
      <c r="Q147" s="21">
        <v>1016.12816220378</v>
      </c>
      <c r="R147" s="383">
        <v>1017.8756012098144</v>
      </c>
      <c r="S147" s="54">
        <v>14.600000011680001</v>
      </c>
      <c r="T147" s="47">
        <v>7.4283333392760014</v>
      </c>
      <c r="U147" s="25">
        <v>1.5039073818109407</v>
      </c>
      <c r="V147" s="175" t="s">
        <v>208</v>
      </c>
      <c r="W147" s="198"/>
      <c r="X147" s="26">
        <v>0</v>
      </c>
      <c r="Y147" s="27">
        <v>0</v>
      </c>
      <c r="Z147" s="28">
        <v>0</v>
      </c>
      <c r="AA147" s="396">
        <v>0</v>
      </c>
      <c r="AB147" s="263" t="s">
        <v>284</v>
      </c>
      <c r="AC147" s="200"/>
    </row>
    <row r="148" spans="1:29" s="20" customFormat="1" x14ac:dyDescent="0.3">
      <c r="A148" s="370">
        <v>45437</v>
      </c>
      <c r="B148" s="37">
        <v>16.7</v>
      </c>
      <c r="C148" s="14">
        <v>27.1</v>
      </c>
      <c r="D148" s="14">
        <v>15.4</v>
      </c>
      <c r="E148" s="14">
        <v>28.2</v>
      </c>
      <c r="F148" s="14">
        <v>11.4</v>
      </c>
      <c r="G148" s="58">
        <f t="shared" si="5"/>
        <v>16.799999999999997</v>
      </c>
      <c r="H148" s="58">
        <f t="shared" si="7"/>
        <v>18.649999999999999</v>
      </c>
      <c r="I148" s="60">
        <v>19.385486111111096</v>
      </c>
      <c r="J148" s="165">
        <v>19.600000000000001</v>
      </c>
      <c r="K148" s="14">
        <v>10.3</v>
      </c>
      <c r="L148" s="50">
        <v>13.742430555555536</v>
      </c>
      <c r="M148" s="66">
        <v>97.7</v>
      </c>
      <c r="N148" s="24">
        <v>41.1</v>
      </c>
      <c r="O148" s="62">
        <v>72.848680555555603</v>
      </c>
      <c r="P148" s="377">
        <v>1020.87677829631</v>
      </c>
      <c r="Q148" s="21">
        <v>1016.38266691283</v>
      </c>
      <c r="R148" s="383">
        <v>1019.0418308302837</v>
      </c>
      <c r="S148" s="54">
        <v>6.10000000488</v>
      </c>
      <c r="T148" s="47">
        <v>4.6466666703840005</v>
      </c>
      <c r="U148" s="25">
        <v>1.0824866965602342</v>
      </c>
      <c r="V148" s="175" t="s">
        <v>208</v>
      </c>
      <c r="W148" s="198"/>
      <c r="X148" s="26">
        <v>0</v>
      </c>
      <c r="Y148" s="27">
        <v>0</v>
      </c>
      <c r="Z148" s="28">
        <v>0</v>
      </c>
      <c r="AA148" s="396">
        <v>0</v>
      </c>
      <c r="AB148" s="261" t="s">
        <v>310</v>
      </c>
      <c r="AC148" s="200"/>
    </row>
    <row r="149" spans="1:29" s="20" customFormat="1" ht="28.8" x14ac:dyDescent="0.3">
      <c r="A149" s="370">
        <v>45438</v>
      </c>
      <c r="B149" s="37">
        <v>17.3</v>
      </c>
      <c r="C149" s="14">
        <v>27.3</v>
      </c>
      <c r="D149" s="14">
        <v>15.1</v>
      </c>
      <c r="E149" s="14">
        <v>28</v>
      </c>
      <c r="F149" s="14">
        <v>10.1</v>
      </c>
      <c r="G149" s="58">
        <f t="shared" si="5"/>
        <v>17.899999999999999</v>
      </c>
      <c r="H149" s="58">
        <f t="shared" si="7"/>
        <v>18.7</v>
      </c>
      <c r="I149" s="60">
        <v>19.032817610062867</v>
      </c>
      <c r="J149" s="165">
        <v>15.6171291239271</v>
      </c>
      <c r="K149" s="14">
        <v>5.7855448307324098</v>
      </c>
      <c r="L149" s="50">
        <v>10.075894161971229</v>
      </c>
      <c r="M149" s="66">
        <v>95</v>
      </c>
      <c r="N149" s="24">
        <v>25</v>
      </c>
      <c r="O149" s="62">
        <v>61.552327044025176</v>
      </c>
      <c r="P149" s="377">
        <v>1021.24733941178</v>
      </c>
      <c r="Q149" s="21">
        <v>1017.83131311838</v>
      </c>
      <c r="R149" s="383">
        <v>1019.4928317457147</v>
      </c>
      <c r="S149" s="54">
        <v>6.8000000054400003</v>
      </c>
      <c r="T149" s="47">
        <v>4.0616666699160007</v>
      </c>
      <c r="U149" s="25">
        <v>1.0503647807145122</v>
      </c>
      <c r="V149" s="175" t="s">
        <v>209</v>
      </c>
      <c r="W149" s="198"/>
      <c r="X149" s="26">
        <v>0</v>
      </c>
      <c r="Y149" s="27">
        <v>0</v>
      </c>
      <c r="Z149" s="28">
        <v>0</v>
      </c>
      <c r="AA149" s="396">
        <v>0</v>
      </c>
      <c r="AB149" s="261" t="s">
        <v>311</v>
      </c>
      <c r="AC149" s="200"/>
    </row>
    <row r="150" spans="1:29" s="20" customFormat="1" x14ac:dyDescent="0.3">
      <c r="A150" s="370">
        <v>45439</v>
      </c>
      <c r="B150" s="37">
        <v>14.5</v>
      </c>
      <c r="C150" s="14">
        <v>28.2</v>
      </c>
      <c r="D150" s="14">
        <v>16.5</v>
      </c>
      <c r="E150" s="14">
        <v>28.3</v>
      </c>
      <c r="F150" s="14">
        <v>7.5</v>
      </c>
      <c r="G150" s="58">
        <f t="shared" si="5"/>
        <v>20.8</v>
      </c>
      <c r="H150" s="58">
        <f t="shared" si="7"/>
        <v>18.925000000000001</v>
      </c>
      <c r="I150" s="60">
        <v>18.780606523955147</v>
      </c>
      <c r="J150" s="165">
        <v>14.727555894964899</v>
      </c>
      <c r="K150" s="14">
        <v>2.0305630187608301</v>
      </c>
      <c r="L150" s="50">
        <v>6.7229641768192012</v>
      </c>
      <c r="M150" s="66">
        <v>96</v>
      </c>
      <c r="N150" s="24">
        <v>20</v>
      </c>
      <c r="O150" s="62">
        <v>53.437563710499454</v>
      </c>
      <c r="P150" s="377">
        <v>1021.60303710908</v>
      </c>
      <c r="Q150" s="21">
        <v>1016.2558637722</v>
      </c>
      <c r="R150" s="383">
        <v>1018.9850138727024</v>
      </c>
      <c r="S150" s="54">
        <v>7.5000000059999996</v>
      </c>
      <c r="T150" s="47">
        <v>4.6666666703999997</v>
      </c>
      <c r="U150" s="25">
        <v>1.1832823658803659</v>
      </c>
      <c r="V150" s="175" t="s">
        <v>209</v>
      </c>
      <c r="W150" s="198"/>
      <c r="X150" s="26">
        <v>0</v>
      </c>
      <c r="Y150" s="27">
        <v>0</v>
      </c>
      <c r="Z150" s="28">
        <v>0</v>
      </c>
      <c r="AA150" s="396">
        <v>0</v>
      </c>
      <c r="AB150" s="261" t="s">
        <v>242</v>
      </c>
      <c r="AC150" s="200"/>
    </row>
    <row r="151" spans="1:29" s="20" customFormat="1" x14ac:dyDescent="0.3">
      <c r="A151" s="370">
        <v>45440</v>
      </c>
      <c r="B151" s="37">
        <v>10.4</v>
      </c>
      <c r="C151" s="14">
        <v>26.5</v>
      </c>
      <c r="D151" s="14">
        <v>15.7</v>
      </c>
      <c r="E151" s="14">
        <v>26.7</v>
      </c>
      <c r="F151" s="14">
        <v>7.9</v>
      </c>
      <c r="G151" s="58">
        <f t="shared" si="5"/>
        <v>18.799999999999997</v>
      </c>
      <c r="H151" s="58">
        <f t="shared" si="7"/>
        <v>17.074999999999999</v>
      </c>
      <c r="I151" s="60">
        <v>17.069382090272754</v>
      </c>
      <c r="J151" s="165">
        <v>13.454830584494101</v>
      </c>
      <c r="K151" s="14">
        <v>5.3645280166127796</v>
      </c>
      <c r="L151" s="50">
        <v>9.3634678019874524</v>
      </c>
      <c r="M151" s="66">
        <v>94</v>
      </c>
      <c r="N151" s="24">
        <v>32</v>
      </c>
      <c r="O151" s="62">
        <v>64.324885348781066</v>
      </c>
      <c r="P151" s="377">
        <v>1018.9183221011</v>
      </c>
      <c r="Q151" s="21">
        <v>1012.8573320384299</v>
      </c>
      <c r="R151" s="383">
        <v>1015.3396327355676</v>
      </c>
      <c r="S151" s="54">
        <v>8.8000000070399995</v>
      </c>
      <c r="T151" s="47">
        <v>5.8000000046400011</v>
      </c>
      <c r="U151" s="25">
        <v>1.175778422374369</v>
      </c>
      <c r="V151" s="175" t="s">
        <v>209</v>
      </c>
      <c r="W151" s="198"/>
      <c r="X151" s="26">
        <v>0</v>
      </c>
      <c r="Y151" s="27">
        <v>0</v>
      </c>
      <c r="Z151" s="28">
        <v>0</v>
      </c>
      <c r="AA151" s="396">
        <v>0</v>
      </c>
      <c r="AB151" s="261" t="s">
        <v>265</v>
      </c>
      <c r="AC151" s="200"/>
    </row>
    <row r="152" spans="1:29" s="20" customFormat="1" x14ac:dyDescent="0.3">
      <c r="A152" s="370">
        <v>45441</v>
      </c>
      <c r="B152" s="37">
        <v>15.4</v>
      </c>
      <c r="C152" s="14">
        <v>25.6</v>
      </c>
      <c r="D152" s="14">
        <v>16.100000000000001</v>
      </c>
      <c r="E152" s="14">
        <v>28.7</v>
      </c>
      <c r="F152" s="14">
        <v>9</v>
      </c>
      <c r="G152" s="58">
        <f t="shared" si="5"/>
        <v>19.7</v>
      </c>
      <c r="H152" s="58">
        <f t="shared" si="7"/>
        <v>18.3</v>
      </c>
      <c r="I152" s="60">
        <v>18.781009440813381</v>
      </c>
      <c r="J152" s="165">
        <v>15.98243060709</v>
      </c>
      <c r="K152" s="14">
        <v>6.7840223803097501</v>
      </c>
      <c r="L152" s="50">
        <v>11.977469985622799</v>
      </c>
      <c r="M152" s="66">
        <v>95</v>
      </c>
      <c r="N152" s="24">
        <v>35</v>
      </c>
      <c r="O152" s="62">
        <v>67.736141370128308</v>
      </c>
      <c r="P152" s="377">
        <v>1014.32370262982</v>
      </c>
      <c r="Q152" s="21">
        <v>1008.06925027571</v>
      </c>
      <c r="R152" s="383">
        <v>1011.0640255423359</v>
      </c>
      <c r="S152" s="54">
        <v>9.2000000073599999</v>
      </c>
      <c r="T152" s="47">
        <v>4.9766666706479992</v>
      </c>
      <c r="U152" s="25">
        <v>1.4755507152932479</v>
      </c>
      <c r="V152" s="175" t="s">
        <v>209</v>
      </c>
      <c r="W152" s="198"/>
      <c r="X152" s="26">
        <v>0</v>
      </c>
      <c r="Y152" s="27">
        <v>0</v>
      </c>
      <c r="Z152" s="28">
        <v>0</v>
      </c>
      <c r="AA152" s="396">
        <v>0</v>
      </c>
      <c r="AB152" s="261" t="s">
        <v>265</v>
      </c>
      <c r="AC152" s="200"/>
    </row>
    <row r="153" spans="1:29" s="20" customFormat="1" x14ac:dyDescent="0.3">
      <c r="A153" s="370">
        <v>45442</v>
      </c>
      <c r="B153" s="37">
        <v>15.2</v>
      </c>
      <c r="C153" s="14">
        <v>23</v>
      </c>
      <c r="D153" s="14">
        <v>14.5</v>
      </c>
      <c r="E153" s="14">
        <v>25.4</v>
      </c>
      <c r="F153" s="14">
        <v>11.3</v>
      </c>
      <c r="G153" s="58">
        <f t="shared" si="5"/>
        <v>14.099999999999998</v>
      </c>
      <c r="H153" s="58">
        <f>(B153+C153+2*D153)/4</f>
        <v>16.8</v>
      </c>
      <c r="I153" s="60">
        <v>17.352634134498665</v>
      </c>
      <c r="J153" s="165">
        <v>15.376676057368501</v>
      </c>
      <c r="K153" s="14">
        <v>9.7187941905384001</v>
      </c>
      <c r="L153" s="50">
        <v>12.558981781272907</v>
      </c>
      <c r="M153" s="66">
        <v>95</v>
      </c>
      <c r="N153" s="24">
        <v>45</v>
      </c>
      <c r="O153" s="62">
        <v>75.390992959456185</v>
      </c>
      <c r="P153" s="377">
        <v>1008.56428958321</v>
      </c>
      <c r="Q153" s="21">
        <v>1003.97486743558</v>
      </c>
      <c r="R153" s="383">
        <v>1005.909303812623</v>
      </c>
      <c r="S153" s="54">
        <v>6.8000000054400003</v>
      </c>
      <c r="T153" s="47">
        <v>4.0300000032240009</v>
      </c>
      <c r="U153" s="25">
        <v>0.80999028955305885</v>
      </c>
      <c r="V153" s="175" t="s">
        <v>209</v>
      </c>
      <c r="W153" s="198" t="s">
        <v>214</v>
      </c>
      <c r="X153" s="26">
        <v>12</v>
      </c>
      <c r="Y153" s="27">
        <v>1</v>
      </c>
      <c r="Z153" s="28">
        <v>0</v>
      </c>
      <c r="AA153" s="396">
        <v>0</v>
      </c>
      <c r="AB153" s="261" t="s">
        <v>293</v>
      </c>
      <c r="AC153" s="200"/>
    </row>
    <row r="154" spans="1:29" s="257" customFormat="1" ht="15" thickBot="1" x14ac:dyDescent="0.35">
      <c r="A154" s="370">
        <v>45443</v>
      </c>
      <c r="B154" s="38">
        <v>15.2</v>
      </c>
      <c r="C154" s="22">
        <v>25.2</v>
      </c>
      <c r="D154" s="22">
        <v>17.7</v>
      </c>
      <c r="E154" s="22">
        <v>26.5</v>
      </c>
      <c r="F154" s="22">
        <v>11.3</v>
      </c>
      <c r="G154" s="22">
        <f t="shared" si="5"/>
        <v>15.2</v>
      </c>
      <c r="H154" s="22">
        <f>(B154+C154+2*D154)/4</f>
        <v>18.95</v>
      </c>
      <c r="I154" s="61">
        <v>18.454088050314486</v>
      </c>
      <c r="J154" s="166">
        <v>17.1610312642674</v>
      </c>
      <c r="K154" s="22">
        <v>9.8836821805821096</v>
      </c>
      <c r="L154" s="256">
        <v>13.751374464905183</v>
      </c>
      <c r="M154" s="67">
        <v>97</v>
      </c>
      <c r="N154" s="52">
        <v>46</v>
      </c>
      <c r="O154" s="63">
        <v>76.540275761973902</v>
      </c>
      <c r="P154" s="381">
        <v>1009.43293871631</v>
      </c>
      <c r="Q154" s="53">
        <v>1005.33661245947</v>
      </c>
      <c r="R154" s="388">
        <v>1006.9965059938614</v>
      </c>
      <c r="S154" s="56">
        <v>9.2000000073599999</v>
      </c>
      <c r="T154" s="49">
        <v>5.6633333378640005</v>
      </c>
      <c r="U154" s="39">
        <v>1.6381470743632478</v>
      </c>
      <c r="V154" s="176" t="s">
        <v>208</v>
      </c>
      <c r="W154" s="199" t="s">
        <v>214</v>
      </c>
      <c r="X154" s="40">
        <v>6</v>
      </c>
      <c r="Y154" s="41">
        <v>3</v>
      </c>
      <c r="Z154" s="42">
        <v>0</v>
      </c>
      <c r="AA154" s="399">
        <v>0</v>
      </c>
      <c r="AB154" s="262" t="s">
        <v>324</v>
      </c>
      <c r="AC154" s="404"/>
    </row>
    <row r="155" spans="1:29" s="33" customFormat="1" x14ac:dyDescent="0.3">
      <c r="A155" s="370">
        <v>45444</v>
      </c>
      <c r="B155" s="57">
        <v>16.3</v>
      </c>
      <c r="C155" s="29">
        <v>23.6</v>
      </c>
      <c r="D155" s="29">
        <v>16.399999999999999</v>
      </c>
      <c r="E155" s="29">
        <v>25.4</v>
      </c>
      <c r="F155" s="29">
        <v>13.5</v>
      </c>
      <c r="G155" s="58">
        <f t="shared" ref="G155:G215" si="8">E155-F155</f>
        <v>11.899999999999999</v>
      </c>
      <c r="H155" s="58">
        <f>(B155+C155+2*D155)/4</f>
        <v>18.175000000000001</v>
      </c>
      <c r="I155" s="65">
        <v>19.807805596465425</v>
      </c>
      <c r="J155" s="366">
        <v>18.5</v>
      </c>
      <c r="K155" s="29">
        <v>11.6</v>
      </c>
      <c r="L155" s="58">
        <v>14.881737849779064</v>
      </c>
      <c r="M155" s="90">
        <v>88.4</v>
      </c>
      <c r="N155" s="30">
        <v>58.2</v>
      </c>
      <c r="O155" s="87">
        <v>73.898085419734969</v>
      </c>
      <c r="P155" s="376">
        <v>1011.31887984763</v>
      </c>
      <c r="Q155" s="31">
        <v>1007.6391261258</v>
      </c>
      <c r="R155" s="382">
        <v>1009.4074770226624</v>
      </c>
      <c r="S155" s="89">
        <v>9.9000000079199992</v>
      </c>
      <c r="T155" s="32">
        <v>5.85000000468</v>
      </c>
      <c r="U155" s="32">
        <v>2.3172943907854169</v>
      </c>
      <c r="V155" s="174" t="s">
        <v>208</v>
      </c>
      <c r="W155" s="363" t="s">
        <v>239</v>
      </c>
      <c r="X155" s="84">
        <v>0</v>
      </c>
      <c r="Y155" s="85">
        <v>0</v>
      </c>
      <c r="Z155" s="86">
        <v>0</v>
      </c>
      <c r="AA155" s="393">
        <v>0</v>
      </c>
      <c r="AB155" s="259" t="s">
        <v>291</v>
      </c>
      <c r="AC155" s="401"/>
    </row>
    <row r="156" spans="1:29" s="20" customFormat="1" x14ac:dyDescent="0.3">
      <c r="A156" s="370">
        <v>45445</v>
      </c>
      <c r="B156" s="37">
        <v>17.7</v>
      </c>
      <c r="C156" s="14">
        <v>22.6</v>
      </c>
      <c r="D156" s="14">
        <v>16.600000000000001</v>
      </c>
      <c r="E156" s="14">
        <v>23.7</v>
      </c>
      <c r="F156" s="14">
        <v>11.5</v>
      </c>
      <c r="G156" s="58">
        <f t="shared" si="8"/>
        <v>12.2</v>
      </c>
      <c r="H156" s="58">
        <f t="shared" ref="H156:H183" si="9">(B156+C156+2*D156)/4</f>
        <v>18.375</v>
      </c>
      <c r="I156" s="60">
        <v>18.361805555555524</v>
      </c>
      <c r="J156" s="165">
        <v>15.6</v>
      </c>
      <c r="K156" s="14">
        <v>10.7</v>
      </c>
      <c r="L156" s="50">
        <v>13.570555555555559</v>
      </c>
      <c r="M156" s="66">
        <v>95.7</v>
      </c>
      <c r="N156" s="24">
        <v>58.6</v>
      </c>
      <c r="O156" s="62">
        <v>74.803472222222368</v>
      </c>
      <c r="P156" s="377">
        <v>1013.78031385065</v>
      </c>
      <c r="Q156" s="21">
        <v>1010.47984988624</v>
      </c>
      <c r="R156" s="383">
        <v>1011.6671805454014</v>
      </c>
      <c r="S156" s="54">
        <v>9.2000000073599999</v>
      </c>
      <c r="T156" s="47">
        <v>6.6800000053440005</v>
      </c>
      <c r="U156" s="25">
        <v>2.4938357958308597</v>
      </c>
      <c r="V156" s="175" t="s">
        <v>208</v>
      </c>
      <c r="W156" s="196"/>
      <c r="X156" s="16">
        <v>0</v>
      </c>
      <c r="Y156" s="17">
        <v>0</v>
      </c>
      <c r="Z156" s="18">
        <v>0</v>
      </c>
      <c r="AA156" s="394">
        <v>0</v>
      </c>
      <c r="AB156" s="260" t="s">
        <v>258</v>
      </c>
      <c r="AC156" s="200"/>
    </row>
    <row r="157" spans="1:29" s="20" customFormat="1" x14ac:dyDescent="0.3">
      <c r="A157" s="370">
        <v>45446</v>
      </c>
      <c r="B157" s="37">
        <v>16.7</v>
      </c>
      <c r="C157" s="14">
        <v>24.6</v>
      </c>
      <c r="D157" s="14">
        <v>17.7</v>
      </c>
      <c r="E157" s="14">
        <v>26.5</v>
      </c>
      <c r="F157" s="14">
        <v>9.6999999999999993</v>
      </c>
      <c r="G157" s="58">
        <f t="shared" si="8"/>
        <v>16.8</v>
      </c>
      <c r="H157" s="58">
        <f t="shared" si="9"/>
        <v>19.174999999999997</v>
      </c>
      <c r="I157" s="60">
        <v>18.684166666666648</v>
      </c>
      <c r="J157" s="165">
        <v>18.7</v>
      </c>
      <c r="K157" s="14">
        <v>9.3000000000000007</v>
      </c>
      <c r="L157" s="50">
        <v>14.841944444444445</v>
      </c>
      <c r="M157" s="66">
        <v>99</v>
      </c>
      <c r="N157" s="24">
        <v>55.3</v>
      </c>
      <c r="O157" s="62">
        <v>80.045694444444379</v>
      </c>
      <c r="P157" s="377">
        <v>1014.6969455731</v>
      </c>
      <c r="Q157" s="21">
        <v>1009.8825784235599</v>
      </c>
      <c r="R157" s="383">
        <v>1012.3770330102487</v>
      </c>
      <c r="S157" s="54">
        <v>7.8000000062400003</v>
      </c>
      <c r="T157" s="47">
        <v>4.0616666699159998</v>
      </c>
      <c r="U157" s="25">
        <v>1.369187676165377</v>
      </c>
      <c r="V157" s="175" t="s">
        <v>208</v>
      </c>
      <c r="W157" s="196" t="s">
        <v>214</v>
      </c>
      <c r="X157" s="16">
        <v>66</v>
      </c>
      <c r="Y157" s="17">
        <v>13.2</v>
      </c>
      <c r="Z157" s="18">
        <v>0</v>
      </c>
      <c r="AA157" s="394">
        <v>0</v>
      </c>
      <c r="AB157" s="260" t="s">
        <v>326</v>
      </c>
      <c r="AC157" s="200"/>
    </row>
    <row r="158" spans="1:29" s="20" customFormat="1" x14ac:dyDescent="0.3">
      <c r="A158" s="370">
        <v>45447</v>
      </c>
      <c r="B158" s="37">
        <v>16.8</v>
      </c>
      <c r="C158" s="14">
        <v>19</v>
      </c>
      <c r="D158" s="14">
        <v>15.8</v>
      </c>
      <c r="E158" s="14">
        <v>19.7</v>
      </c>
      <c r="F158" s="14">
        <v>15.1</v>
      </c>
      <c r="G158" s="58">
        <f t="shared" si="8"/>
        <v>4.5999999999999996</v>
      </c>
      <c r="H158" s="58">
        <f t="shared" si="9"/>
        <v>16.850000000000001</v>
      </c>
      <c r="I158" s="60">
        <v>16.880625000000013</v>
      </c>
      <c r="J158" s="165">
        <v>19.2</v>
      </c>
      <c r="K158" s="14">
        <v>14.9</v>
      </c>
      <c r="L158" s="50">
        <v>16.229444444444457</v>
      </c>
      <c r="M158" s="66">
        <v>100</v>
      </c>
      <c r="N158" s="24">
        <v>88.3</v>
      </c>
      <c r="O158" s="62">
        <v>96.026666666666785</v>
      </c>
      <c r="P158" s="377">
        <v>1011.7906267731699</v>
      </c>
      <c r="Q158" s="21">
        <v>1009.39396685155</v>
      </c>
      <c r="R158" s="383">
        <v>1010.355862721821</v>
      </c>
      <c r="S158" s="55">
        <v>3.70000000296</v>
      </c>
      <c r="T158" s="48">
        <v>2.7200000021759996</v>
      </c>
      <c r="U158" s="19">
        <v>0.6430191977220876</v>
      </c>
      <c r="V158" s="175" t="s">
        <v>209</v>
      </c>
      <c r="W158" s="197" t="s">
        <v>214</v>
      </c>
      <c r="X158" s="16">
        <v>54</v>
      </c>
      <c r="Y158" s="17">
        <v>9</v>
      </c>
      <c r="Z158" s="18">
        <v>0</v>
      </c>
      <c r="AA158" s="394">
        <v>0</v>
      </c>
      <c r="AB158" s="260" t="s">
        <v>329</v>
      </c>
      <c r="AC158" s="200"/>
    </row>
    <row r="159" spans="1:29" s="20" customFormat="1" ht="28.8" x14ac:dyDescent="0.3">
      <c r="A159" s="370">
        <v>45448</v>
      </c>
      <c r="B159" s="37">
        <v>15.9</v>
      </c>
      <c r="C159" s="14">
        <v>23.9</v>
      </c>
      <c r="D159" s="14">
        <v>17.5</v>
      </c>
      <c r="E159" s="14">
        <v>25.7</v>
      </c>
      <c r="F159" s="14">
        <v>14</v>
      </c>
      <c r="G159" s="58">
        <f t="shared" si="8"/>
        <v>11.7</v>
      </c>
      <c r="H159" s="58">
        <f t="shared" si="9"/>
        <v>18.7</v>
      </c>
      <c r="I159" s="60">
        <v>18.787430555555581</v>
      </c>
      <c r="J159" s="165">
        <v>19.100000000000001</v>
      </c>
      <c r="K159" s="14">
        <v>13.7</v>
      </c>
      <c r="L159" s="50">
        <v>16.148541666666674</v>
      </c>
      <c r="M159" s="66">
        <v>100</v>
      </c>
      <c r="N159" s="24">
        <v>59.3</v>
      </c>
      <c r="O159" s="62">
        <v>86.067638888888979</v>
      </c>
      <c r="P159" s="377">
        <v>1014.21897845894</v>
      </c>
      <c r="Q159" s="21">
        <v>1010.82980556013</v>
      </c>
      <c r="R159" s="383">
        <v>1012.2487724000706</v>
      </c>
      <c r="S159" s="54">
        <v>7.1000000056800001</v>
      </c>
      <c r="T159" s="47">
        <v>4.6866666704160007</v>
      </c>
      <c r="U159" s="25">
        <v>0.99978965682557441</v>
      </c>
      <c r="V159" s="175" t="s">
        <v>209</v>
      </c>
      <c r="W159" s="197" t="s">
        <v>214</v>
      </c>
      <c r="X159" s="16">
        <v>18</v>
      </c>
      <c r="Y159" s="17">
        <v>0.3</v>
      </c>
      <c r="Z159" s="18">
        <v>0</v>
      </c>
      <c r="AA159" s="394">
        <v>0</v>
      </c>
      <c r="AB159" s="260" t="s">
        <v>327</v>
      </c>
      <c r="AC159" s="200"/>
    </row>
    <row r="160" spans="1:29" s="20" customFormat="1" x14ac:dyDescent="0.3">
      <c r="A160" s="370">
        <v>45449</v>
      </c>
      <c r="B160" s="37">
        <v>18</v>
      </c>
      <c r="C160" s="14">
        <v>23.2</v>
      </c>
      <c r="D160" s="14">
        <v>17</v>
      </c>
      <c r="E160" s="14">
        <v>28.7</v>
      </c>
      <c r="F160" s="14">
        <v>12.7</v>
      </c>
      <c r="G160" s="58">
        <f t="shared" si="8"/>
        <v>16</v>
      </c>
      <c r="H160" s="58">
        <f t="shared" si="9"/>
        <v>18.8</v>
      </c>
      <c r="I160" s="60">
        <v>19.719652777777753</v>
      </c>
      <c r="J160" s="165">
        <v>22.9</v>
      </c>
      <c r="K160" s="14">
        <v>12.5</v>
      </c>
      <c r="L160" s="50">
        <v>16.786875000000041</v>
      </c>
      <c r="M160" s="66">
        <v>99.9</v>
      </c>
      <c r="N160" s="24">
        <v>47.1</v>
      </c>
      <c r="O160" s="62">
        <v>84.745972222222292</v>
      </c>
      <c r="P160" s="377">
        <v>1016.68273011715</v>
      </c>
      <c r="Q160" s="21">
        <v>1014.14884404005</v>
      </c>
      <c r="R160" s="383">
        <v>1015.7371500866054</v>
      </c>
      <c r="S160" s="54">
        <v>5.8000000046400002</v>
      </c>
      <c r="T160" s="47">
        <v>3.2233333359120002</v>
      </c>
      <c r="U160" s="25">
        <v>0.79853652700554223</v>
      </c>
      <c r="V160" s="175" t="s">
        <v>209</v>
      </c>
      <c r="W160" s="197" t="s">
        <v>214</v>
      </c>
      <c r="X160" s="16">
        <v>66</v>
      </c>
      <c r="Y160" s="17">
        <v>6.1</v>
      </c>
      <c r="Z160" s="18">
        <v>0</v>
      </c>
      <c r="AA160" s="394">
        <v>0</v>
      </c>
      <c r="AB160" s="260" t="s">
        <v>328</v>
      </c>
      <c r="AC160" s="200"/>
    </row>
    <row r="161" spans="1:29" s="20" customFormat="1" x14ac:dyDescent="0.3">
      <c r="A161" s="370">
        <v>45450</v>
      </c>
      <c r="B161" s="37">
        <v>17</v>
      </c>
      <c r="C161" s="14">
        <v>21.8</v>
      </c>
      <c r="D161" s="14">
        <v>17.3</v>
      </c>
      <c r="E161" s="14">
        <v>23.7</v>
      </c>
      <c r="F161" s="14">
        <v>13.8</v>
      </c>
      <c r="G161" s="58">
        <f t="shared" si="8"/>
        <v>9.8999999999999986</v>
      </c>
      <c r="H161" s="58">
        <f t="shared" si="9"/>
        <v>18.350000000000001</v>
      </c>
      <c r="I161" s="60">
        <v>18.227569444444462</v>
      </c>
      <c r="J161" s="165">
        <v>20.399999999999999</v>
      </c>
      <c r="K161" s="14">
        <v>13.5</v>
      </c>
      <c r="L161" s="50">
        <v>16.967986111111099</v>
      </c>
      <c r="M161" s="66">
        <v>100</v>
      </c>
      <c r="N161" s="24">
        <v>74.7</v>
      </c>
      <c r="O161" s="62">
        <v>92.772777777777833</v>
      </c>
      <c r="P161" s="377">
        <v>1017.75722864871</v>
      </c>
      <c r="Q161" s="21">
        <v>1013.70183681042</v>
      </c>
      <c r="R161" s="383">
        <v>1015.7219382934042</v>
      </c>
      <c r="S161" s="54">
        <v>6.5000000052000004</v>
      </c>
      <c r="T161" s="47">
        <v>3.9666666698399999</v>
      </c>
      <c r="U161" s="25">
        <v>0.98104818757072987</v>
      </c>
      <c r="V161" s="175" t="s">
        <v>209</v>
      </c>
      <c r="W161" s="197" t="s">
        <v>214</v>
      </c>
      <c r="X161" s="16">
        <v>6</v>
      </c>
      <c r="Y161" s="17">
        <v>0.6</v>
      </c>
      <c r="Z161" s="18">
        <v>0</v>
      </c>
      <c r="AA161" s="394">
        <v>0</v>
      </c>
      <c r="AB161" s="260" t="s">
        <v>331</v>
      </c>
      <c r="AC161" s="200"/>
    </row>
    <row r="162" spans="1:29" s="20" customFormat="1" x14ac:dyDescent="0.3">
      <c r="A162" s="370">
        <v>45451</v>
      </c>
      <c r="B162" s="37">
        <v>17.899999999999999</v>
      </c>
      <c r="C162" s="14">
        <v>27.5</v>
      </c>
      <c r="D162" s="14">
        <v>17.600000000000001</v>
      </c>
      <c r="E162" s="14">
        <v>28.1</v>
      </c>
      <c r="F162" s="14">
        <v>11.5</v>
      </c>
      <c r="G162" s="58">
        <f t="shared" si="8"/>
        <v>16.600000000000001</v>
      </c>
      <c r="H162" s="58">
        <f t="shared" si="9"/>
        <v>20.149999999999999</v>
      </c>
      <c r="I162" s="60">
        <v>19.963668306394922</v>
      </c>
      <c r="J162" s="165">
        <v>20.7</v>
      </c>
      <c r="K162" s="14">
        <v>11.3</v>
      </c>
      <c r="L162" s="50">
        <v>16.083766690091384</v>
      </c>
      <c r="M162" s="66">
        <v>100</v>
      </c>
      <c r="N162" s="24">
        <v>52.2</v>
      </c>
      <c r="O162" s="62">
        <v>80.374912157413874</v>
      </c>
      <c r="P162" s="377">
        <v>1015.83789190672</v>
      </c>
      <c r="Q162" s="21">
        <v>1009.28989859592</v>
      </c>
      <c r="R162" s="383">
        <v>1012.8941804339541</v>
      </c>
      <c r="S162" s="54">
        <v>5.8000000046400002</v>
      </c>
      <c r="T162" s="47">
        <v>3.7183333363080004</v>
      </c>
      <c r="U162" s="25">
        <v>1.249081976691008</v>
      </c>
      <c r="V162" s="175" t="s">
        <v>209</v>
      </c>
      <c r="W162" s="197" t="s">
        <v>214</v>
      </c>
      <c r="X162" s="16">
        <v>78</v>
      </c>
      <c r="Y162" s="17">
        <v>18</v>
      </c>
      <c r="Z162" s="18">
        <v>0</v>
      </c>
      <c r="AA162" s="394">
        <v>0</v>
      </c>
      <c r="AB162" s="260" t="s">
        <v>252</v>
      </c>
      <c r="AC162" s="200"/>
    </row>
    <row r="163" spans="1:29" s="20" customFormat="1" x14ac:dyDescent="0.3">
      <c r="A163" s="370">
        <v>45452</v>
      </c>
      <c r="B163" s="37">
        <v>16.600000000000001</v>
      </c>
      <c r="C163" s="14">
        <v>22.4</v>
      </c>
      <c r="D163" s="14">
        <v>18.399999999999999</v>
      </c>
      <c r="E163" s="14">
        <v>24.4</v>
      </c>
      <c r="F163" s="14">
        <v>14</v>
      </c>
      <c r="G163" s="58">
        <f t="shared" si="8"/>
        <v>10.399999999999999</v>
      </c>
      <c r="H163" s="58">
        <f t="shared" si="9"/>
        <v>18.95</v>
      </c>
      <c r="I163" s="60">
        <v>18.599513888888829</v>
      </c>
      <c r="J163" s="165">
        <v>20.9</v>
      </c>
      <c r="K163" s="14">
        <v>13.5</v>
      </c>
      <c r="L163" s="50">
        <v>17.547847222222156</v>
      </c>
      <c r="M163" s="66">
        <v>100</v>
      </c>
      <c r="N163" s="24">
        <v>73.7</v>
      </c>
      <c r="O163" s="62">
        <v>93.95243055555548</v>
      </c>
      <c r="P163" s="377">
        <v>1009.6549954076</v>
      </c>
      <c r="Q163" s="21">
        <v>1006.04978332556</v>
      </c>
      <c r="R163" s="383">
        <v>1007.3951766680716</v>
      </c>
      <c r="S163" s="54">
        <v>6.5000000052000004</v>
      </c>
      <c r="T163" s="47">
        <v>4.06666666992</v>
      </c>
      <c r="U163" s="25">
        <v>1.2335332343701384</v>
      </c>
      <c r="V163" s="175" t="s">
        <v>208</v>
      </c>
      <c r="W163" s="197" t="s">
        <v>214</v>
      </c>
      <c r="X163" s="16">
        <v>24</v>
      </c>
      <c r="Y163" s="17">
        <v>7</v>
      </c>
      <c r="Z163" s="18">
        <v>0</v>
      </c>
      <c r="AA163" s="394">
        <v>0</v>
      </c>
      <c r="AB163" s="260" t="s">
        <v>337</v>
      </c>
      <c r="AC163" s="200"/>
    </row>
    <row r="164" spans="1:29" s="20" customFormat="1" x14ac:dyDescent="0.3">
      <c r="A164" s="370">
        <v>45453</v>
      </c>
      <c r="B164" s="37">
        <v>18.3</v>
      </c>
      <c r="C164" s="14">
        <v>20.399999999999999</v>
      </c>
      <c r="D164" s="14">
        <v>18.2</v>
      </c>
      <c r="E164" s="14">
        <v>21.1</v>
      </c>
      <c r="F164" s="14">
        <v>16.399999999999999</v>
      </c>
      <c r="G164" s="58">
        <f>E164-F164</f>
        <v>4.7000000000000028</v>
      </c>
      <c r="H164" s="58">
        <f t="shared" si="9"/>
        <v>18.774999999999999</v>
      </c>
      <c r="I164" s="60">
        <v>18.779166666666576</v>
      </c>
      <c r="J164" s="165">
        <v>19.8</v>
      </c>
      <c r="K164" s="14">
        <v>16.2</v>
      </c>
      <c r="L164" s="50">
        <v>18.054791666666656</v>
      </c>
      <c r="M164" s="66">
        <v>100</v>
      </c>
      <c r="N164" s="24">
        <v>88.4</v>
      </c>
      <c r="O164" s="62">
        <v>95.623888888889027</v>
      </c>
      <c r="P164" s="377">
        <v>1006.46668752425</v>
      </c>
      <c r="Q164" s="21">
        <v>1001.93764452178</v>
      </c>
      <c r="R164" s="383">
        <v>1004.4728181019157</v>
      </c>
      <c r="S164" s="54">
        <v>8.8000000070399995</v>
      </c>
      <c r="T164" s="47">
        <v>4.673333337072</v>
      </c>
      <c r="U164" s="25">
        <v>1.3767573707159191</v>
      </c>
      <c r="V164" s="175" t="s">
        <v>208</v>
      </c>
      <c r="W164" s="197" t="s">
        <v>214</v>
      </c>
      <c r="X164" s="16">
        <v>18</v>
      </c>
      <c r="Y164" s="17">
        <v>8.4</v>
      </c>
      <c r="Z164" s="18">
        <v>0</v>
      </c>
      <c r="AA164" s="394">
        <v>0</v>
      </c>
      <c r="AB164" s="260" t="s">
        <v>338</v>
      </c>
      <c r="AC164" s="200"/>
    </row>
    <row r="165" spans="1:29" s="20" customFormat="1" x14ac:dyDescent="0.3">
      <c r="A165" s="370">
        <v>45454</v>
      </c>
      <c r="B165" s="37">
        <v>17.600000000000001</v>
      </c>
      <c r="C165" s="14">
        <v>18.8</v>
      </c>
      <c r="D165" s="14">
        <v>16.399999999999999</v>
      </c>
      <c r="E165" s="14">
        <v>21.4</v>
      </c>
      <c r="F165" s="14">
        <v>14.6</v>
      </c>
      <c r="G165" s="58">
        <f t="shared" si="8"/>
        <v>6.7999999999999989</v>
      </c>
      <c r="H165" s="58">
        <f t="shared" si="9"/>
        <v>17.3</v>
      </c>
      <c r="I165" s="60">
        <v>17.861666666666693</v>
      </c>
      <c r="J165" s="165">
        <v>19.899999999999999</v>
      </c>
      <c r="K165" s="14">
        <v>13</v>
      </c>
      <c r="L165" s="50">
        <v>16.885347222222254</v>
      </c>
      <c r="M165" s="66">
        <v>100</v>
      </c>
      <c r="N165" s="24">
        <v>83.6</v>
      </c>
      <c r="O165" s="62">
        <v>94.14569444444443</v>
      </c>
      <c r="P165" s="377">
        <v>1013.5108254443001</v>
      </c>
      <c r="Q165" s="21">
        <v>1004.40425397715</v>
      </c>
      <c r="R165" s="383">
        <v>1007.9103133337696</v>
      </c>
      <c r="S165" s="54">
        <v>4.4000000035199998</v>
      </c>
      <c r="T165" s="47">
        <v>2.5866666687359996</v>
      </c>
      <c r="U165" s="25">
        <v>0.66613924103923627</v>
      </c>
      <c r="V165" s="175" t="s">
        <v>210</v>
      </c>
      <c r="W165" s="197" t="s">
        <v>214</v>
      </c>
      <c r="X165" s="16">
        <v>18</v>
      </c>
      <c r="Y165" s="17">
        <v>2.7</v>
      </c>
      <c r="Z165" s="18">
        <v>0</v>
      </c>
      <c r="AA165" s="394">
        <v>0</v>
      </c>
      <c r="AB165" s="260" t="s">
        <v>339</v>
      </c>
      <c r="AC165" s="200"/>
    </row>
    <row r="166" spans="1:29" s="20" customFormat="1" x14ac:dyDescent="0.3">
      <c r="A166" s="370">
        <v>45455</v>
      </c>
      <c r="B166" s="37">
        <v>16.600000000000001</v>
      </c>
      <c r="C166" s="14">
        <v>20.399999999999999</v>
      </c>
      <c r="D166" s="14">
        <v>13.7</v>
      </c>
      <c r="E166" s="14">
        <v>21.5</v>
      </c>
      <c r="F166" s="14">
        <v>12.2</v>
      </c>
      <c r="G166" s="58">
        <f t="shared" si="8"/>
        <v>9.3000000000000007</v>
      </c>
      <c r="H166" s="58">
        <f t="shared" si="9"/>
        <v>16.100000000000001</v>
      </c>
      <c r="I166" s="60">
        <v>16.09145833333335</v>
      </c>
      <c r="J166" s="165">
        <v>15.1</v>
      </c>
      <c r="K166" s="14">
        <v>8.9</v>
      </c>
      <c r="L166" s="50">
        <v>11.816249999999986</v>
      </c>
      <c r="M166" s="66">
        <v>91.5</v>
      </c>
      <c r="N166" s="24">
        <v>59.5</v>
      </c>
      <c r="O166" s="62">
        <v>76.279930555555538</v>
      </c>
      <c r="P166" s="377">
        <v>1016.50521730951</v>
      </c>
      <c r="Q166" s="21">
        <v>1013.5108254443001</v>
      </c>
      <c r="R166" s="383">
        <v>1015.2740469806009</v>
      </c>
      <c r="S166" s="54">
        <v>6.8000000054400003</v>
      </c>
      <c r="T166" s="47">
        <v>3.9733333365119998</v>
      </c>
      <c r="U166" s="25">
        <v>1.734607915930056</v>
      </c>
      <c r="V166" s="175" t="s">
        <v>210</v>
      </c>
      <c r="W166" s="197" t="s">
        <v>214</v>
      </c>
      <c r="X166" s="16">
        <v>6</v>
      </c>
      <c r="Y166" s="17">
        <v>0.5</v>
      </c>
      <c r="Z166" s="18">
        <v>0</v>
      </c>
      <c r="AA166" s="394">
        <v>0</v>
      </c>
      <c r="AB166" s="260" t="s">
        <v>252</v>
      </c>
      <c r="AC166" s="200"/>
    </row>
    <row r="167" spans="1:29" s="20" customFormat="1" x14ac:dyDescent="0.3">
      <c r="A167" s="370">
        <v>45456</v>
      </c>
      <c r="B167" s="37">
        <v>12.9</v>
      </c>
      <c r="C167" s="14">
        <v>17.2</v>
      </c>
      <c r="D167" s="14">
        <v>12.2</v>
      </c>
      <c r="E167" s="14">
        <v>18.100000000000001</v>
      </c>
      <c r="F167" s="14">
        <v>11.4</v>
      </c>
      <c r="G167" s="58">
        <f t="shared" si="8"/>
        <v>6.7000000000000011</v>
      </c>
      <c r="H167" s="58">
        <f t="shared" si="9"/>
        <v>13.625</v>
      </c>
      <c r="I167" s="60">
        <v>13.917569444444458</v>
      </c>
      <c r="J167" s="165">
        <v>15</v>
      </c>
      <c r="K167" s="14">
        <v>8.6999999999999993</v>
      </c>
      <c r="L167" s="50">
        <v>11.700833333333382</v>
      </c>
      <c r="M167" s="66">
        <v>94.2</v>
      </c>
      <c r="N167" s="24">
        <v>77</v>
      </c>
      <c r="O167" s="62">
        <v>86.625277777777896</v>
      </c>
      <c r="P167" s="377">
        <v>1016.35772952077</v>
      </c>
      <c r="Q167" s="21">
        <v>1013.8627502322699</v>
      </c>
      <c r="R167" s="383">
        <v>1014.854625644904</v>
      </c>
      <c r="S167" s="54">
        <v>4.8000000038400001</v>
      </c>
      <c r="T167" s="47">
        <v>2.8400000022719998</v>
      </c>
      <c r="U167" s="25">
        <v>1.3673464444053576</v>
      </c>
      <c r="V167" s="175" t="s">
        <v>210</v>
      </c>
      <c r="W167" s="198" t="s">
        <v>214</v>
      </c>
      <c r="X167" s="26">
        <v>6</v>
      </c>
      <c r="Y167" s="27">
        <v>0.3</v>
      </c>
      <c r="Z167" s="28">
        <v>0</v>
      </c>
      <c r="AA167" s="396">
        <v>0</v>
      </c>
      <c r="AB167" s="261" t="s">
        <v>216</v>
      </c>
      <c r="AC167" s="200"/>
    </row>
    <row r="168" spans="1:29" s="20" customFormat="1" x14ac:dyDescent="0.3">
      <c r="A168" s="370">
        <v>45457</v>
      </c>
      <c r="B168" s="37">
        <v>16.2</v>
      </c>
      <c r="C168" s="14">
        <v>20.5</v>
      </c>
      <c r="D168" s="14">
        <v>14.1</v>
      </c>
      <c r="E168" s="14">
        <v>22.7</v>
      </c>
      <c r="F168" s="14">
        <v>11</v>
      </c>
      <c r="G168" s="58">
        <f t="shared" si="8"/>
        <v>11.7</v>
      </c>
      <c r="H168" s="58">
        <f t="shared" si="9"/>
        <v>16.225000000000001</v>
      </c>
      <c r="I168" s="60">
        <v>16.479583333333331</v>
      </c>
      <c r="J168" s="165">
        <v>15.5</v>
      </c>
      <c r="K168" s="14">
        <v>9.3000000000000007</v>
      </c>
      <c r="L168" s="50">
        <v>12.077708333333307</v>
      </c>
      <c r="M168" s="66">
        <v>94.3</v>
      </c>
      <c r="N168" s="24">
        <v>52.9</v>
      </c>
      <c r="O168" s="62">
        <v>76.551319444444516</v>
      </c>
      <c r="P168" s="377">
        <v>1015.62976224338</v>
      </c>
      <c r="Q168" s="21">
        <v>1014.03056252031</v>
      </c>
      <c r="R168" s="383">
        <v>1014.7837190031322</v>
      </c>
      <c r="S168" s="54">
        <v>8.2000000065599998</v>
      </c>
      <c r="T168" s="47">
        <v>5.0433333373679998</v>
      </c>
      <c r="U168" s="25">
        <v>1.8576429278427002</v>
      </c>
      <c r="V168" s="175" t="s">
        <v>209</v>
      </c>
      <c r="W168" s="198"/>
      <c r="X168" s="26">
        <v>0</v>
      </c>
      <c r="Y168" s="27">
        <v>0</v>
      </c>
      <c r="Z168" s="28">
        <v>0</v>
      </c>
      <c r="AA168" s="396">
        <v>0</v>
      </c>
      <c r="AB168" s="261" t="s">
        <v>265</v>
      </c>
      <c r="AC168" s="200"/>
    </row>
    <row r="169" spans="1:29" s="20" customFormat="1" x14ac:dyDescent="0.3">
      <c r="A169" s="370">
        <v>45458</v>
      </c>
      <c r="B169" s="37">
        <v>15</v>
      </c>
      <c r="C169" s="14">
        <v>25.6</v>
      </c>
      <c r="D169" s="14">
        <v>17.100000000000001</v>
      </c>
      <c r="E169" s="14">
        <v>25.7</v>
      </c>
      <c r="F169" s="14">
        <v>8.5</v>
      </c>
      <c r="G169" s="58">
        <f t="shared" si="8"/>
        <v>17.2</v>
      </c>
      <c r="H169" s="58">
        <f t="shared" si="9"/>
        <v>18.700000000000003</v>
      </c>
      <c r="I169" s="60">
        <v>18.101944444444424</v>
      </c>
      <c r="J169" s="165">
        <v>17.100000000000001</v>
      </c>
      <c r="K169" s="14">
        <v>8</v>
      </c>
      <c r="L169" s="50">
        <v>12.776527777777773</v>
      </c>
      <c r="M169" s="66">
        <v>98.6</v>
      </c>
      <c r="N169" s="24">
        <v>45.6</v>
      </c>
      <c r="O169" s="62">
        <v>73.896319444444345</v>
      </c>
      <c r="P169" s="377">
        <v>1015.23208161253</v>
      </c>
      <c r="Q169" s="21">
        <v>1009.50383746265</v>
      </c>
      <c r="R169" s="383">
        <v>1012.0827902361145</v>
      </c>
      <c r="S169" s="54">
        <v>8.2000000065599998</v>
      </c>
      <c r="T169" s="47">
        <v>4.4600000035680001</v>
      </c>
      <c r="U169" s="25">
        <v>1.5049879239093082</v>
      </c>
      <c r="V169" s="175" t="s">
        <v>208</v>
      </c>
      <c r="W169" s="198"/>
      <c r="X169" s="26">
        <v>0</v>
      </c>
      <c r="Y169" s="27">
        <v>0</v>
      </c>
      <c r="Z169" s="28">
        <v>0</v>
      </c>
      <c r="AA169" s="396">
        <v>0</v>
      </c>
      <c r="AB169" s="261" t="s">
        <v>236</v>
      </c>
      <c r="AC169" s="200"/>
    </row>
    <row r="170" spans="1:29" s="20" customFormat="1" x14ac:dyDescent="0.3">
      <c r="A170" s="370">
        <v>45459</v>
      </c>
      <c r="B170" s="37">
        <v>17</v>
      </c>
      <c r="C170" s="14">
        <v>20.9</v>
      </c>
      <c r="D170" s="14">
        <v>18.899999999999999</v>
      </c>
      <c r="E170" s="14">
        <v>25.6</v>
      </c>
      <c r="F170" s="14">
        <v>9.5</v>
      </c>
      <c r="G170" s="58">
        <f t="shared" si="8"/>
        <v>16.100000000000001</v>
      </c>
      <c r="H170" s="58">
        <f t="shared" si="9"/>
        <v>18.924999999999997</v>
      </c>
      <c r="I170" s="60">
        <v>18.509930555555588</v>
      </c>
      <c r="J170" s="165">
        <v>20.8</v>
      </c>
      <c r="K170" s="14">
        <v>9</v>
      </c>
      <c r="L170" s="50">
        <v>15.584652777777819</v>
      </c>
      <c r="M170" s="66">
        <v>99.1</v>
      </c>
      <c r="N170" s="24">
        <v>60</v>
      </c>
      <c r="O170" s="62">
        <v>84.1944444444444</v>
      </c>
      <c r="P170" s="377">
        <v>1012.26563970546</v>
      </c>
      <c r="Q170" s="21">
        <v>1008.3223136351399</v>
      </c>
      <c r="R170" s="383">
        <v>1010.2101886469724</v>
      </c>
      <c r="S170" s="54">
        <v>7.8000000062400003</v>
      </c>
      <c r="T170" s="47">
        <v>4.2400000033919998</v>
      </c>
      <c r="U170" s="25">
        <v>1.004922593934082</v>
      </c>
      <c r="V170" s="175" t="s">
        <v>209</v>
      </c>
      <c r="W170" s="198" t="s">
        <v>239</v>
      </c>
      <c r="X170" s="26">
        <v>0</v>
      </c>
      <c r="Y170" s="27">
        <v>0</v>
      </c>
      <c r="Z170" s="28">
        <v>0</v>
      </c>
      <c r="AA170" s="396">
        <v>0</v>
      </c>
      <c r="AB170" s="261" t="s">
        <v>340</v>
      </c>
      <c r="AC170" s="200"/>
    </row>
    <row r="171" spans="1:29" s="20" customFormat="1" x14ac:dyDescent="0.3">
      <c r="A171" s="370">
        <v>45460</v>
      </c>
      <c r="B171" s="37">
        <v>19.5</v>
      </c>
      <c r="C171" s="14">
        <v>28</v>
      </c>
      <c r="D171" s="14">
        <v>17.7</v>
      </c>
      <c r="E171" s="14">
        <v>28.5</v>
      </c>
      <c r="F171" s="14">
        <v>14.1</v>
      </c>
      <c r="G171" s="58">
        <f t="shared" si="8"/>
        <v>14.4</v>
      </c>
      <c r="H171" s="58">
        <f t="shared" si="9"/>
        <v>20.725000000000001</v>
      </c>
      <c r="I171" s="60">
        <v>21.199236111111141</v>
      </c>
      <c r="J171" s="165">
        <v>19.7</v>
      </c>
      <c r="K171" s="14">
        <v>13.3</v>
      </c>
      <c r="L171" s="50">
        <v>16.114722222222255</v>
      </c>
      <c r="M171" s="66">
        <v>99</v>
      </c>
      <c r="N171" s="24">
        <v>44.6</v>
      </c>
      <c r="O171" s="62">
        <v>75.495486111111049</v>
      </c>
      <c r="P171" s="377">
        <v>1016.91943649738</v>
      </c>
      <c r="Q171" s="21">
        <v>1012.0610382623599</v>
      </c>
      <c r="R171" s="383">
        <v>1014.240018022222</v>
      </c>
      <c r="S171" s="54">
        <v>4.8000000038400001</v>
      </c>
      <c r="T171" s="47">
        <v>2.8533333356159996</v>
      </c>
      <c r="U171" s="25">
        <v>1.1283187993522639</v>
      </c>
      <c r="V171" s="175" t="s">
        <v>209</v>
      </c>
      <c r="W171" s="198"/>
      <c r="X171" s="26">
        <v>0</v>
      </c>
      <c r="Y171" s="27">
        <v>0</v>
      </c>
      <c r="Z171" s="28">
        <v>0</v>
      </c>
      <c r="AA171" s="396">
        <v>0</v>
      </c>
      <c r="AB171" s="261" t="s">
        <v>236</v>
      </c>
      <c r="AC171" s="200"/>
    </row>
    <row r="172" spans="1:29" s="20" customFormat="1" x14ac:dyDescent="0.3">
      <c r="A172" s="370">
        <v>45461</v>
      </c>
      <c r="B172" s="37">
        <v>18</v>
      </c>
      <c r="C172" s="14">
        <v>29.8</v>
      </c>
      <c r="D172" s="14">
        <v>21.1</v>
      </c>
      <c r="E172" s="14">
        <v>30</v>
      </c>
      <c r="F172" s="14">
        <v>12.2</v>
      </c>
      <c r="G172" s="58">
        <f t="shared" si="8"/>
        <v>17.8</v>
      </c>
      <c r="H172" s="58">
        <f t="shared" si="9"/>
        <v>22.5</v>
      </c>
      <c r="I172" s="60">
        <v>21.620972222222221</v>
      </c>
      <c r="J172" s="165">
        <v>21.9</v>
      </c>
      <c r="K172" s="14">
        <v>11.8</v>
      </c>
      <c r="L172" s="50">
        <v>16.889652777777812</v>
      </c>
      <c r="M172" s="66">
        <v>99.4</v>
      </c>
      <c r="N172" s="24">
        <v>48.7</v>
      </c>
      <c r="O172" s="62">
        <v>76.938125000000028</v>
      </c>
      <c r="P172" s="377">
        <v>1018.51314112112</v>
      </c>
      <c r="Q172" s="21">
        <v>1015.13578578819</v>
      </c>
      <c r="R172" s="383">
        <v>1016.9370618085603</v>
      </c>
      <c r="S172" s="54">
        <v>6.8000000054400003</v>
      </c>
      <c r="T172" s="47">
        <v>4.5833333370000009</v>
      </c>
      <c r="U172" s="25">
        <v>1.507528444682174</v>
      </c>
      <c r="V172" s="175" t="s">
        <v>209</v>
      </c>
      <c r="W172" s="198"/>
      <c r="X172" s="26">
        <v>0</v>
      </c>
      <c r="Y172" s="27">
        <v>0</v>
      </c>
      <c r="Z172" s="28">
        <v>0</v>
      </c>
      <c r="AA172" s="396">
        <v>0</v>
      </c>
      <c r="AB172" s="261" t="s">
        <v>265</v>
      </c>
      <c r="AC172" s="200"/>
    </row>
    <row r="173" spans="1:29" s="20" customFormat="1" x14ac:dyDescent="0.3">
      <c r="A173" s="370">
        <v>45462</v>
      </c>
      <c r="B173" s="37">
        <v>21.8</v>
      </c>
      <c r="C173" s="14">
        <v>30.3</v>
      </c>
      <c r="D173" s="14">
        <v>22.6</v>
      </c>
      <c r="E173" s="14">
        <v>31.7</v>
      </c>
      <c r="F173" s="14">
        <v>13.7</v>
      </c>
      <c r="G173" s="58">
        <f t="shared" si="8"/>
        <v>18</v>
      </c>
      <c r="H173" s="58">
        <f t="shared" si="9"/>
        <v>24.325000000000003</v>
      </c>
      <c r="I173" s="60">
        <v>23.77381944444441</v>
      </c>
      <c r="J173" s="165">
        <v>23.3</v>
      </c>
      <c r="K173" s="14">
        <v>13.4</v>
      </c>
      <c r="L173" s="50">
        <v>18.909583333333337</v>
      </c>
      <c r="M173" s="66">
        <v>100</v>
      </c>
      <c r="N173" s="24">
        <v>50.4</v>
      </c>
      <c r="O173" s="62">
        <v>76.540208333333339</v>
      </c>
      <c r="P173" s="377">
        <v>1016.65233319188</v>
      </c>
      <c r="Q173" s="21">
        <v>1010.37870366599</v>
      </c>
      <c r="R173" s="383">
        <v>1013.5684319001045</v>
      </c>
      <c r="S173" s="54">
        <v>10.20000000816</v>
      </c>
      <c r="T173" s="47">
        <v>5.9800000047840003</v>
      </c>
      <c r="U173" s="25">
        <v>2.2195231196647431</v>
      </c>
      <c r="V173" s="175" t="s">
        <v>208</v>
      </c>
      <c r="W173" s="198"/>
      <c r="X173" s="26">
        <v>0</v>
      </c>
      <c r="Y173" s="27">
        <v>0</v>
      </c>
      <c r="Z173" s="28">
        <v>0</v>
      </c>
      <c r="AA173" s="396">
        <v>0</v>
      </c>
      <c r="AB173" s="261" t="s">
        <v>297</v>
      </c>
      <c r="AC173" s="200"/>
    </row>
    <row r="174" spans="1:29" s="20" customFormat="1" x14ac:dyDescent="0.3">
      <c r="A174" s="370">
        <v>45463</v>
      </c>
      <c r="B174" s="37">
        <v>21</v>
      </c>
      <c r="C174" s="14">
        <v>26</v>
      </c>
      <c r="D174" s="14">
        <v>16.100000000000001</v>
      </c>
      <c r="E174" s="14">
        <v>26.2</v>
      </c>
      <c r="F174" s="14">
        <v>13.5</v>
      </c>
      <c r="G174" s="58">
        <f t="shared" si="8"/>
        <v>12.7</v>
      </c>
      <c r="H174" s="58">
        <f t="shared" si="9"/>
        <v>19.8</v>
      </c>
      <c r="I174" s="60">
        <v>20.577083333333256</v>
      </c>
      <c r="J174" s="165">
        <v>18.600000000000001</v>
      </c>
      <c r="K174" s="14">
        <v>12.1</v>
      </c>
      <c r="L174" s="50">
        <v>15.119374999999984</v>
      </c>
      <c r="M174" s="66">
        <v>93.3</v>
      </c>
      <c r="N174" s="24">
        <v>49.1</v>
      </c>
      <c r="O174" s="62">
        <v>72.207638888888695</v>
      </c>
      <c r="P174" s="377">
        <v>1022.4699742405199</v>
      </c>
      <c r="Q174" s="21">
        <v>1014.73101091584</v>
      </c>
      <c r="R174" s="383">
        <v>1020.0033322690884</v>
      </c>
      <c r="S174" s="54">
        <v>8.5000000068000006</v>
      </c>
      <c r="T174" s="47">
        <v>4.763333337144001</v>
      </c>
      <c r="U174" s="25">
        <v>1.8945615325233938</v>
      </c>
      <c r="V174" s="175" t="s">
        <v>210</v>
      </c>
      <c r="W174" s="198"/>
      <c r="X174" s="26">
        <v>0</v>
      </c>
      <c r="Y174" s="27">
        <v>0</v>
      </c>
      <c r="Z174" s="28">
        <v>0</v>
      </c>
      <c r="AA174" s="396">
        <v>0</v>
      </c>
      <c r="AB174" s="261" t="s">
        <v>341</v>
      </c>
      <c r="AC174" s="200"/>
    </row>
    <row r="175" spans="1:29" s="20" customFormat="1" x14ac:dyDescent="0.3">
      <c r="A175" s="370">
        <v>45464</v>
      </c>
      <c r="B175" s="37">
        <v>18.899999999999999</v>
      </c>
      <c r="C175" s="14">
        <v>30.6</v>
      </c>
      <c r="D175" s="14">
        <v>23</v>
      </c>
      <c r="E175" s="14">
        <v>30.8</v>
      </c>
      <c r="F175" s="14">
        <v>12.6</v>
      </c>
      <c r="G175" s="58">
        <f t="shared" si="8"/>
        <v>18.200000000000003</v>
      </c>
      <c r="H175" s="58">
        <f t="shared" si="9"/>
        <v>23.875</v>
      </c>
      <c r="I175" s="60">
        <v>22.40618055555554</v>
      </c>
      <c r="J175" s="165">
        <v>22.9</v>
      </c>
      <c r="K175" s="14">
        <v>11.7</v>
      </c>
      <c r="L175" s="50">
        <v>17.710138888888917</v>
      </c>
      <c r="M175" s="66">
        <v>97.5</v>
      </c>
      <c r="N175" s="24">
        <v>55.4</v>
      </c>
      <c r="O175" s="62">
        <v>76.584722222222155</v>
      </c>
      <c r="P175" s="377">
        <v>1021.24499565657</v>
      </c>
      <c r="Q175" s="21">
        <v>1012.2094922288099</v>
      </c>
      <c r="R175" s="383">
        <v>1016.4112418144304</v>
      </c>
      <c r="S175" s="54">
        <v>6.10000000488</v>
      </c>
      <c r="T175" s="47">
        <v>3.4566666694319998</v>
      </c>
      <c r="U175" s="25">
        <v>1.2063388778028639</v>
      </c>
      <c r="V175" s="175" t="s">
        <v>209</v>
      </c>
      <c r="W175" s="198"/>
      <c r="X175" s="26">
        <v>0</v>
      </c>
      <c r="Y175" s="27">
        <v>0</v>
      </c>
      <c r="Z175" s="28">
        <v>0</v>
      </c>
      <c r="AA175" s="396">
        <v>0</v>
      </c>
      <c r="AB175" s="261" t="s">
        <v>342</v>
      </c>
      <c r="AC175" s="200"/>
    </row>
    <row r="176" spans="1:29" s="20" customFormat="1" ht="28.8" x14ac:dyDescent="0.3">
      <c r="A176" s="370">
        <v>45465</v>
      </c>
      <c r="B176" s="37">
        <v>23.7</v>
      </c>
      <c r="C176" s="14">
        <v>26</v>
      </c>
      <c r="D176" s="14">
        <v>19</v>
      </c>
      <c r="E176" s="14">
        <v>29.5</v>
      </c>
      <c r="F176" s="14">
        <v>17.8</v>
      </c>
      <c r="G176" s="58">
        <f t="shared" si="8"/>
        <v>11.7</v>
      </c>
      <c r="H176" s="58">
        <f t="shared" si="9"/>
        <v>21.925000000000001</v>
      </c>
      <c r="I176" s="60">
        <v>22.213333333333381</v>
      </c>
      <c r="J176" s="165">
        <v>24</v>
      </c>
      <c r="K176" s="14">
        <v>17.399999999999999</v>
      </c>
      <c r="L176" s="50">
        <v>19.737499999999926</v>
      </c>
      <c r="M176" s="66">
        <v>99.5</v>
      </c>
      <c r="N176" s="24">
        <v>64.3</v>
      </c>
      <c r="O176" s="62">
        <v>86.807708333333224</v>
      </c>
      <c r="P176" s="377">
        <v>1012.95036258512</v>
      </c>
      <c r="Q176" s="21">
        <v>1008.81920112314</v>
      </c>
      <c r="R176" s="383">
        <v>1010.4787399771639</v>
      </c>
      <c r="S176" s="54">
        <v>7.5000000059999996</v>
      </c>
      <c r="T176" s="47">
        <v>3.8333333364</v>
      </c>
      <c r="U176" s="25">
        <v>1.1618322465180566</v>
      </c>
      <c r="V176" s="175" t="s">
        <v>209</v>
      </c>
      <c r="W176" s="198" t="s">
        <v>214</v>
      </c>
      <c r="X176" s="26">
        <v>84</v>
      </c>
      <c r="Y176" s="27">
        <v>11</v>
      </c>
      <c r="Z176" s="28">
        <v>0</v>
      </c>
      <c r="AA176" s="396">
        <v>0</v>
      </c>
      <c r="AB176" s="261" t="s">
        <v>350</v>
      </c>
      <c r="AC176" s="200"/>
    </row>
    <row r="177" spans="1:29" s="20" customFormat="1" x14ac:dyDescent="0.3">
      <c r="A177" s="370">
        <v>45466</v>
      </c>
      <c r="B177" s="37">
        <v>17.600000000000001</v>
      </c>
      <c r="C177" s="14">
        <v>27.4</v>
      </c>
      <c r="D177" s="14">
        <v>16.7</v>
      </c>
      <c r="E177" s="14">
        <v>27.5</v>
      </c>
      <c r="F177" s="14">
        <v>12.3</v>
      </c>
      <c r="G177" s="58">
        <f t="shared" si="8"/>
        <v>15.2</v>
      </c>
      <c r="H177" s="58">
        <f t="shared" si="9"/>
        <v>19.600000000000001</v>
      </c>
      <c r="I177" s="60">
        <v>21.276417151162828</v>
      </c>
      <c r="J177" s="165">
        <v>19.4258868320331</v>
      </c>
      <c r="K177" s="14">
        <v>10.290869305327799</v>
      </c>
      <c r="L177" s="50">
        <v>15.021010514982015</v>
      </c>
      <c r="M177" s="66">
        <v>99</v>
      </c>
      <c r="N177" s="24">
        <v>44</v>
      </c>
      <c r="O177" s="62">
        <v>70.697311046511643</v>
      </c>
      <c r="P177" s="377">
        <v>1016.31686930704</v>
      </c>
      <c r="Q177" s="21">
        <v>1009.88111743204</v>
      </c>
      <c r="R177" s="383">
        <v>1013.1323493576396</v>
      </c>
      <c r="S177" s="54">
        <v>7.1000000056800001</v>
      </c>
      <c r="T177" s="47">
        <v>3.8900000031119992</v>
      </c>
      <c r="U177" s="25">
        <v>1.3298207374979727</v>
      </c>
      <c r="V177" s="175" t="s">
        <v>209</v>
      </c>
      <c r="W177" s="198"/>
      <c r="X177" s="26">
        <v>0</v>
      </c>
      <c r="Y177" s="27">
        <v>0</v>
      </c>
      <c r="Z177" s="28">
        <v>0</v>
      </c>
      <c r="AA177" s="396">
        <v>0</v>
      </c>
      <c r="AB177" s="261" t="s">
        <v>256</v>
      </c>
      <c r="AC177" s="200"/>
    </row>
    <row r="178" spans="1:29" s="20" customFormat="1" x14ac:dyDescent="0.3">
      <c r="A178" s="370">
        <v>45467</v>
      </c>
      <c r="B178" s="37">
        <v>16.899999999999999</v>
      </c>
      <c r="C178" s="14">
        <v>26.1</v>
      </c>
      <c r="D178" s="14">
        <v>16.8</v>
      </c>
      <c r="E178" s="14">
        <v>26.9</v>
      </c>
      <c r="F178" s="14">
        <v>10.3</v>
      </c>
      <c r="G178" s="58">
        <f t="shared" si="8"/>
        <v>16.599999999999998</v>
      </c>
      <c r="H178" s="58">
        <f t="shared" si="9"/>
        <v>19.149999999999999</v>
      </c>
      <c r="I178" s="60">
        <v>19.065208333333253</v>
      </c>
      <c r="J178" s="165">
        <v>19.2</v>
      </c>
      <c r="K178" s="14">
        <v>9.5</v>
      </c>
      <c r="L178" s="50">
        <v>14.107013888888881</v>
      </c>
      <c r="M178" s="66">
        <v>97.8</v>
      </c>
      <c r="N178" s="24">
        <v>53.5</v>
      </c>
      <c r="O178" s="62">
        <v>74.821180555556239</v>
      </c>
      <c r="P178" s="377">
        <v>1019.09608334106</v>
      </c>
      <c r="Q178" s="21">
        <v>1015.41532727173</v>
      </c>
      <c r="R178" s="383">
        <v>1016.7504696543293</v>
      </c>
      <c r="S178" s="54">
        <v>7.5000000059999996</v>
      </c>
      <c r="T178" s="47">
        <v>4.3816666701720006</v>
      </c>
      <c r="U178" s="25">
        <v>1.6823722641196175</v>
      </c>
      <c r="V178" s="175" t="s">
        <v>209</v>
      </c>
      <c r="W178" s="198"/>
      <c r="X178" s="26">
        <v>0</v>
      </c>
      <c r="Y178" s="27">
        <v>0</v>
      </c>
      <c r="Z178" s="28">
        <v>0</v>
      </c>
      <c r="AA178" s="396">
        <v>0</v>
      </c>
      <c r="AB178" s="261" t="s">
        <v>297</v>
      </c>
      <c r="AC178" s="200"/>
    </row>
    <row r="179" spans="1:29" s="20" customFormat="1" x14ac:dyDescent="0.3">
      <c r="A179" s="370">
        <v>45468</v>
      </c>
      <c r="B179" s="37">
        <v>18</v>
      </c>
      <c r="C179" s="14">
        <v>28.1</v>
      </c>
      <c r="D179" s="14">
        <v>18.2</v>
      </c>
      <c r="E179" s="14">
        <v>28.2</v>
      </c>
      <c r="F179" s="14">
        <v>15.3</v>
      </c>
      <c r="G179" s="58">
        <f t="shared" si="8"/>
        <v>12.899999999999999</v>
      </c>
      <c r="H179" s="58">
        <f t="shared" si="9"/>
        <v>20.625</v>
      </c>
      <c r="I179" s="60">
        <v>23.986756453423133</v>
      </c>
      <c r="J179" s="165">
        <v>20.3</v>
      </c>
      <c r="K179" s="14">
        <v>12.5</v>
      </c>
      <c r="L179" s="50">
        <v>17.203254769921465</v>
      </c>
      <c r="M179" s="66">
        <v>91.3</v>
      </c>
      <c r="N179" s="24">
        <v>54.3</v>
      </c>
      <c r="O179" s="62">
        <v>66.372839506172866</v>
      </c>
      <c r="P179" s="377">
        <v>1019.21081749088</v>
      </c>
      <c r="Q179" s="21">
        <v>1015.5061019442001</v>
      </c>
      <c r="R179" s="383">
        <v>1017.2541503018988</v>
      </c>
      <c r="S179" s="54">
        <v>8.2000000065599998</v>
      </c>
      <c r="T179" s="47">
        <v>5.0266666706880008</v>
      </c>
      <c r="U179" s="25">
        <v>1.5734649135394716</v>
      </c>
      <c r="V179" s="175" t="s">
        <v>209</v>
      </c>
      <c r="W179" s="198"/>
      <c r="X179" s="26">
        <v>0</v>
      </c>
      <c r="Y179" s="27">
        <v>0</v>
      </c>
      <c r="Z179" s="28">
        <v>0</v>
      </c>
      <c r="AA179" s="396">
        <v>0</v>
      </c>
      <c r="AB179" s="261" t="s">
        <v>255</v>
      </c>
      <c r="AC179" s="200"/>
    </row>
    <row r="180" spans="1:29" s="20" customFormat="1" x14ac:dyDescent="0.3">
      <c r="A180" s="370">
        <v>45469</v>
      </c>
      <c r="B180" s="37">
        <v>18.100000000000001</v>
      </c>
      <c r="C180" s="14">
        <v>29.9</v>
      </c>
      <c r="D180" s="14">
        <v>21.4</v>
      </c>
      <c r="E180" s="14">
        <v>30.8</v>
      </c>
      <c r="F180" s="14">
        <v>18.100000000000001</v>
      </c>
      <c r="G180" s="58">
        <f t="shared" si="8"/>
        <v>12.7</v>
      </c>
      <c r="H180" s="58">
        <f t="shared" si="9"/>
        <v>22.7</v>
      </c>
      <c r="I180" s="60">
        <v>25.19219047619044</v>
      </c>
      <c r="J180" s="165">
        <v>23.7</v>
      </c>
      <c r="K180" s="14">
        <v>16</v>
      </c>
      <c r="L180" s="50">
        <v>20.210952380952492</v>
      </c>
      <c r="M180" s="66">
        <v>95.8</v>
      </c>
      <c r="N180" s="24">
        <v>58.3</v>
      </c>
      <c r="O180" s="62">
        <v>74.92161904761906</v>
      </c>
      <c r="P180" s="377">
        <v>1016.94371200031</v>
      </c>
      <c r="Q180" s="21">
        <v>1011.21259208742</v>
      </c>
      <c r="R180" s="383">
        <v>1014.1094362433657</v>
      </c>
      <c r="S180" s="54">
        <v>5.4000000043199998</v>
      </c>
      <c r="T180" s="47">
        <v>3.0766666691279996</v>
      </c>
      <c r="U180" s="25">
        <v>1.0046148263850916</v>
      </c>
      <c r="V180" s="175" t="s">
        <v>209</v>
      </c>
      <c r="W180" s="198"/>
      <c r="X180" s="26">
        <v>0</v>
      </c>
      <c r="Y180" s="27">
        <v>0</v>
      </c>
      <c r="Z180" s="28">
        <v>0</v>
      </c>
      <c r="AA180" s="396">
        <v>0</v>
      </c>
      <c r="AB180" s="261" t="s">
        <v>252</v>
      </c>
      <c r="AC180" s="200"/>
    </row>
    <row r="181" spans="1:29" s="20" customFormat="1" x14ac:dyDescent="0.3">
      <c r="A181" s="370">
        <v>45470</v>
      </c>
      <c r="B181" s="37">
        <v>21.4</v>
      </c>
      <c r="C181" s="14">
        <v>31.2</v>
      </c>
      <c r="D181" s="14">
        <v>19</v>
      </c>
      <c r="E181" s="14">
        <v>31.6</v>
      </c>
      <c r="F181" s="14">
        <v>18.100000000000001</v>
      </c>
      <c r="G181" s="58">
        <f t="shared" si="8"/>
        <v>13.5</v>
      </c>
      <c r="H181" s="58">
        <f t="shared" si="9"/>
        <v>22.65</v>
      </c>
      <c r="I181" s="60">
        <v>22.659930555555551</v>
      </c>
      <c r="J181" s="165">
        <v>24.4</v>
      </c>
      <c r="K181" s="14">
        <v>17.5</v>
      </c>
      <c r="L181" s="50">
        <v>19.829305555555724</v>
      </c>
      <c r="M181" s="66">
        <v>99</v>
      </c>
      <c r="N181" s="24">
        <v>59.5</v>
      </c>
      <c r="O181" s="62">
        <v>85.452638888889865</v>
      </c>
      <c r="P181" s="377">
        <v>1012.9811926596</v>
      </c>
      <c r="Q181" s="21">
        <v>1009.28559240506</v>
      </c>
      <c r="R181" s="383">
        <v>1011.3451758086268</v>
      </c>
      <c r="S181" s="54">
        <v>10.20000000816</v>
      </c>
      <c r="T181" s="47">
        <v>7.0833333390000011</v>
      </c>
      <c r="U181" s="25">
        <v>1.0835262912672146</v>
      </c>
      <c r="V181" s="175" t="s">
        <v>209</v>
      </c>
      <c r="W181" s="198" t="s">
        <v>214</v>
      </c>
      <c r="X181" s="26">
        <v>36</v>
      </c>
      <c r="Y181" s="27">
        <v>3</v>
      </c>
      <c r="Z181" s="28">
        <v>0</v>
      </c>
      <c r="AA181" s="396">
        <v>0</v>
      </c>
      <c r="AB181" s="261" t="s">
        <v>360</v>
      </c>
      <c r="AC181" s="200"/>
    </row>
    <row r="182" spans="1:29" s="20" customFormat="1" x14ac:dyDescent="0.3">
      <c r="A182" s="370">
        <v>45471</v>
      </c>
      <c r="B182" s="37">
        <v>19</v>
      </c>
      <c r="C182" s="14">
        <v>29.6</v>
      </c>
      <c r="D182" s="14">
        <v>20.9</v>
      </c>
      <c r="E182" s="14">
        <v>30.2</v>
      </c>
      <c r="F182" s="14">
        <v>19</v>
      </c>
      <c r="G182" s="58">
        <f t="shared" si="8"/>
        <v>11.2</v>
      </c>
      <c r="H182" s="58">
        <f t="shared" si="9"/>
        <v>22.6</v>
      </c>
      <c r="I182" s="60">
        <v>23.154652777777741</v>
      </c>
      <c r="J182" s="165">
        <v>25.2</v>
      </c>
      <c r="K182" s="14">
        <v>18.2</v>
      </c>
      <c r="L182" s="50">
        <v>20.370486111111067</v>
      </c>
      <c r="M182" s="66">
        <v>96.3</v>
      </c>
      <c r="N182" s="24">
        <v>65.5</v>
      </c>
      <c r="O182" s="62">
        <v>85.24666666666721</v>
      </c>
      <c r="P182" s="377">
        <v>1016.5300538906999</v>
      </c>
      <c r="Q182" s="21">
        <v>1012.66645073092</v>
      </c>
      <c r="R182" s="383">
        <v>1013.9842868832571</v>
      </c>
      <c r="S182" s="54">
        <v>7.1000000056800001</v>
      </c>
      <c r="T182" s="47">
        <v>4.4633333369039994</v>
      </c>
      <c r="U182" s="25">
        <v>0.99001452512026678</v>
      </c>
      <c r="V182" s="175" t="s">
        <v>208</v>
      </c>
      <c r="W182" s="198"/>
      <c r="X182" s="26">
        <v>0</v>
      </c>
      <c r="Y182" s="27">
        <v>0</v>
      </c>
      <c r="Z182" s="28">
        <v>0</v>
      </c>
      <c r="AA182" s="396">
        <v>0</v>
      </c>
      <c r="AB182" s="261" t="s">
        <v>331</v>
      </c>
      <c r="AC182" s="200"/>
    </row>
    <row r="183" spans="1:29" s="20" customFormat="1" x14ac:dyDescent="0.3">
      <c r="A183" s="370">
        <v>45472</v>
      </c>
      <c r="B183" s="37">
        <v>20.8</v>
      </c>
      <c r="C183" s="14">
        <v>31.3</v>
      </c>
      <c r="D183" s="14">
        <v>22.4</v>
      </c>
      <c r="E183" s="14">
        <v>33.1</v>
      </c>
      <c r="F183" s="14">
        <v>18.3</v>
      </c>
      <c r="G183" s="58">
        <f t="shared" si="8"/>
        <v>14.8</v>
      </c>
      <c r="H183" s="58">
        <f t="shared" si="9"/>
        <v>24.225000000000001</v>
      </c>
      <c r="I183" s="60">
        <v>25.12633114514956</v>
      </c>
      <c r="J183" s="165">
        <v>22.2832696388889</v>
      </c>
      <c r="K183" s="14">
        <v>16.8031698730166</v>
      </c>
      <c r="L183" s="50">
        <v>19.198572871288267</v>
      </c>
      <c r="M183" s="66">
        <v>99</v>
      </c>
      <c r="N183" s="24">
        <v>41.6666666666667</v>
      </c>
      <c r="O183" s="62">
        <v>72.861658157062948</v>
      </c>
      <c r="P183" s="377">
        <v>1018.35539615354</v>
      </c>
      <c r="Q183" s="21">
        <v>1014.14032625855</v>
      </c>
      <c r="R183" s="383">
        <v>1016.1407741018872</v>
      </c>
      <c r="S183" s="54">
        <v>4.8000000038400001</v>
      </c>
      <c r="T183" s="47">
        <v>2.9500000023599999</v>
      </c>
      <c r="U183" s="25">
        <v>0.91292244177094217</v>
      </c>
      <c r="V183" s="175" t="s">
        <v>209</v>
      </c>
      <c r="W183" s="198"/>
      <c r="X183" s="26">
        <v>0</v>
      </c>
      <c r="Y183" s="27">
        <v>0</v>
      </c>
      <c r="Z183" s="28">
        <v>0</v>
      </c>
      <c r="AA183" s="396">
        <v>0</v>
      </c>
      <c r="AB183" s="261" t="s">
        <v>257</v>
      </c>
      <c r="AC183" s="200"/>
    </row>
    <row r="184" spans="1:29" s="312" customFormat="1" ht="15" thickBot="1" x14ac:dyDescent="0.35">
      <c r="A184" s="370">
        <v>45473</v>
      </c>
      <c r="B184" s="296">
        <v>23.1</v>
      </c>
      <c r="C184" s="297">
        <v>30</v>
      </c>
      <c r="D184" s="297">
        <v>26.3</v>
      </c>
      <c r="E184" s="297">
        <v>30.1</v>
      </c>
      <c r="F184" s="297">
        <v>18.3</v>
      </c>
      <c r="G184" s="298">
        <f t="shared" si="8"/>
        <v>11.8</v>
      </c>
      <c r="H184" s="298">
        <f>(B184+C184+2*D184)/4</f>
        <v>26.425000000000001</v>
      </c>
      <c r="I184" s="299">
        <v>25.579009661835723</v>
      </c>
      <c r="J184" s="368">
        <v>23.832433062543899</v>
      </c>
      <c r="K184" s="297">
        <v>16.9757308005229</v>
      </c>
      <c r="L184" s="298">
        <v>19.963235804915612</v>
      </c>
      <c r="M184" s="300">
        <v>99</v>
      </c>
      <c r="N184" s="301">
        <v>56</v>
      </c>
      <c r="O184" s="302">
        <v>72.7175120772947</v>
      </c>
      <c r="P184" s="379">
        <v>1015.2004542629199</v>
      </c>
      <c r="Q184" s="303">
        <v>1007.65079871543</v>
      </c>
      <c r="R184" s="385">
        <v>1011.3819764909612</v>
      </c>
      <c r="S184" s="304">
        <v>8.8000000070399995</v>
      </c>
      <c r="T184" s="305">
        <v>5.9300000047439996</v>
      </c>
      <c r="U184" s="306">
        <v>2.3709661854716426</v>
      </c>
      <c r="V184" s="307" t="s">
        <v>208</v>
      </c>
      <c r="W184" s="391" t="s">
        <v>239</v>
      </c>
      <c r="X184" s="308">
        <v>0</v>
      </c>
      <c r="Y184" s="309">
        <v>0</v>
      </c>
      <c r="Z184" s="310">
        <v>0</v>
      </c>
      <c r="AA184" s="397">
        <v>0</v>
      </c>
      <c r="AB184" s="311" t="s">
        <v>373</v>
      </c>
      <c r="AC184" s="357"/>
    </row>
    <row r="185" spans="1:29" s="326" customFormat="1" x14ac:dyDescent="0.3">
      <c r="A185" s="370">
        <v>45474</v>
      </c>
      <c r="B185" s="313">
        <v>24.6</v>
      </c>
      <c r="C185" s="314">
        <v>23.9</v>
      </c>
      <c r="D185" s="314">
        <v>20.2</v>
      </c>
      <c r="E185" s="314">
        <v>30.033333333333299</v>
      </c>
      <c r="F185" s="314">
        <v>19.5</v>
      </c>
      <c r="G185" s="315">
        <f t="shared" si="8"/>
        <v>10.533333333333299</v>
      </c>
      <c r="H185" s="315">
        <f>(B185+C185+2*D185)/4</f>
        <v>22.225000000000001</v>
      </c>
      <c r="I185" s="316">
        <v>23.681879109762171</v>
      </c>
      <c r="J185" s="336">
        <v>22.721029317941799</v>
      </c>
      <c r="K185" s="314">
        <v>17.4144016305127</v>
      </c>
      <c r="L185" s="315">
        <v>19.903622530855507</v>
      </c>
      <c r="M185" s="317">
        <v>96</v>
      </c>
      <c r="N185" s="318">
        <v>59</v>
      </c>
      <c r="O185" s="319">
        <v>80.280475467880663</v>
      </c>
      <c r="P185" s="380">
        <v>1009.57286202486</v>
      </c>
      <c r="Q185" s="320">
        <v>1006.47080832244</v>
      </c>
      <c r="R185" s="386">
        <v>1007.814455611226</v>
      </c>
      <c r="S185" s="290">
        <v>5.10000000408</v>
      </c>
      <c r="T185" s="291">
        <v>3.56666666952</v>
      </c>
      <c r="U185" s="291">
        <v>1.167134548227589</v>
      </c>
      <c r="V185" s="292" t="s">
        <v>209</v>
      </c>
      <c r="W185" s="335" t="s">
        <v>264</v>
      </c>
      <c r="X185" s="322">
        <v>102</v>
      </c>
      <c r="Y185" s="323">
        <v>27</v>
      </c>
      <c r="Z185" s="324">
        <v>0</v>
      </c>
      <c r="AA185" s="398">
        <v>0</v>
      </c>
      <c r="AB185" s="325" t="s">
        <v>329</v>
      </c>
      <c r="AC185" s="402"/>
    </row>
    <row r="186" spans="1:29" s="20" customFormat="1" x14ac:dyDescent="0.3">
      <c r="A186" s="370">
        <v>45475</v>
      </c>
      <c r="B186" s="37">
        <v>18.399999999999999</v>
      </c>
      <c r="C186" s="14">
        <v>19.5</v>
      </c>
      <c r="D186" s="14">
        <v>15.5</v>
      </c>
      <c r="E186" s="14">
        <v>19.899999999999999</v>
      </c>
      <c r="F186" s="14">
        <v>11.9</v>
      </c>
      <c r="G186" s="58">
        <f t="shared" si="8"/>
        <v>7.9999999999999982</v>
      </c>
      <c r="H186" s="58">
        <f t="shared" ref="H186:H213" si="10">(B186+C186+2*D186)/4</f>
        <v>17.225000000000001</v>
      </c>
      <c r="I186" s="60">
        <v>17.810022865853661</v>
      </c>
      <c r="J186" s="165">
        <v>18.376870634671999</v>
      </c>
      <c r="K186" s="14">
        <v>9.5099061932643707</v>
      </c>
      <c r="L186" s="50">
        <v>14.802438166046919</v>
      </c>
      <c r="M186" s="90">
        <v>98</v>
      </c>
      <c r="N186" s="30">
        <v>66</v>
      </c>
      <c r="O186" s="87">
        <v>83.221925813008127</v>
      </c>
      <c r="P186" s="377">
        <v>1008.45737261682</v>
      </c>
      <c r="Q186" s="21">
        <v>1006.11210552796</v>
      </c>
      <c r="R186" s="382">
        <v>1007.238331128194</v>
      </c>
      <c r="S186" s="54">
        <v>6.5000000052000004</v>
      </c>
      <c r="T186" s="47">
        <v>3.7433333363279999</v>
      </c>
      <c r="U186" s="25">
        <v>1.198818598520035</v>
      </c>
      <c r="V186" s="175" t="s">
        <v>210</v>
      </c>
      <c r="W186" s="196" t="s">
        <v>214</v>
      </c>
      <c r="X186" s="16">
        <v>6</v>
      </c>
      <c r="Y186" s="17">
        <v>0.8</v>
      </c>
      <c r="Z186" s="18">
        <v>0</v>
      </c>
      <c r="AA186" s="394">
        <v>0</v>
      </c>
      <c r="AB186" s="260" t="s">
        <v>252</v>
      </c>
      <c r="AC186" s="200"/>
    </row>
    <row r="187" spans="1:29" s="20" customFormat="1" x14ac:dyDescent="0.3">
      <c r="A187" s="370">
        <v>45476</v>
      </c>
      <c r="B187" s="37">
        <v>15.1</v>
      </c>
      <c r="C187" s="14">
        <v>23</v>
      </c>
      <c r="D187" s="14">
        <v>16.600000000000001</v>
      </c>
      <c r="E187" s="14">
        <v>23.4</v>
      </c>
      <c r="F187" s="14">
        <v>10</v>
      </c>
      <c r="G187" s="58">
        <f t="shared" si="8"/>
        <v>13.399999999999999</v>
      </c>
      <c r="H187" s="58">
        <f t="shared" si="10"/>
        <v>17.825000000000003</v>
      </c>
      <c r="I187" s="60">
        <v>17.494226103833054</v>
      </c>
      <c r="J187" s="165">
        <v>14.974509122396499</v>
      </c>
      <c r="K187" s="14">
        <v>8.4352097946617999</v>
      </c>
      <c r="L187" s="50">
        <v>11.880138145288267</v>
      </c>
      <c r="M187" s="90">
        <v>95</v>
      </c>
      <c r="N187" s="30">
        <v>50</v>
      </c>
      <c r="O187" s="87">
        <v>71.510917030567711</v>
      </c>
      <c r="P187" s="377">
        <v>1008.6913517589001</v>
      </c>
      <c r="Q187" s="21">
        <v>1004.79652700393</v>
      </c>
      <c r="R187" s="382">
        <v>1006.8243097082777</v>
      </c>
      <c r="S187" s="54">
        <v>6.10000000488</v>
      </c>
      <c r="T187" s="47">
        <v>3.476666669448</v>
      </c>
      <c r="U187" s="25">
        <v>1.3169577885353791</v>
      </c>
      <c r="V187" s="175" t="s">
        <v>209</v>
      </c>
      <c r="W187" s="196"/>
      <c r="X187" s="16">
        <v>0</v>
      </c>
      <c r="Y187" s="17">
        <v>0</v>
      </c>
      <c r="Z187" s="18">
        <v>0</v>
      </c>
      <c r="AA187" s="394">
        <v>0</v>
      </c>
      <c r="AB187" s="260" t="s">
        <v>252</v>
      </c>
      <c r="AC187" s="200"/>
    </row>
    <row r="188" spans="1:29" s="20" customFormat="1" x14ac:dyDescent="0.3">
      <c r="A188" s="370">
        <v>45477</v>
      </c>
      <c r="B188" s="37">
        <v>16.600000000000001</v>
      </c>
      <c r="C188" s="14">
        <v>25</v>
      </c>
      <c r="D188" s="14">
        <v>16.899999999999999</v>
      </c>
      <c r="E188" s="14">
        <v>25.4</v>
      </c>
      <c r="F188" s="14">
        <v>10.5</v>
      </c>
      <c r="G188" s="58">
        <f t="shared" si="8"/>
        <v>14.899999999999999</v>
      </c>
      <c r="H188" s="58">
        <f t="shared" si="10"/>
        <v>18.850000000000001</v>
      </c>
      <c r="I188" s="60">
        <v>18.376661832245588</v>
      </c>
      <c r="J188" s="165">
        <v>17.314940616269201</v>
      </c>
      <c r="K188" s="14">
        <v>8.7634600933499893</v>
      </c>
      <c r="L188" s="50">
        <v>13.530634397021347</v>
      </c>
      <c r="M188" s="90">
        <v>96</v>
      </c>
      <c r="N188" s="30">
        <v>44</v>
      </c>
      <c r="O188" s="87">
        <v>75.420957215373491</v>
      </c>
      <c r="P188" s="377">
        <v>1010.64212323437</v>
      </c>
      <c r="Q188" s="21">
        <v>1006.4035700022999</v>
      </c>
      <c r="R188" s="382">
        <v>1007.8085340162164</v>
      </c>
      <c r="S188" s="55">
        <v>4.8000000038400001</v>
      </c>
      <c r="T188" s="48">
        <v>1.926666668208</v>
      </c>
      <c r="U188" s="19">
        <v>0.69425912552518609</v>
      </c>
      <c r="V188" s="175" t="s">
        <v>209</v>
      </c>
      <c r="W188" s="197" t="s">
        <v>214</v>
      </c>
      <c r="X188" s="16">
        <v>24</v>
      </c>
      <c r="Y188" s="17">
        <v>4.4000000000000004</v>
      </c>
      <c r="Z188" s="18">
        <v>0</v>
      </c>
      <c r="AA188" s="394">
        <v>0</v>
      </c>
      <c r="AB188" s="260" t="s">
        <v>366</v>
      </c>
      <c r="AC188" s="200"/>
    </row>
    <row r="189" spans="1:29" s="20" customFormat="1" x14ac:dyDescent="0.3">
      <c r="A189" s="370">
        <v>45478</v>
      </c>
      <c r="B189" s="37">
        <v>14.9</v>
      </c>
      <c r="C189" s="14">
        <v>25.3</v>
      </c>
      <c r="D189" s="14">
        <v>18.100000000000001</v>
      </c>
      <c r="E189" s="14">
        <v>26.1</v>
      </c>
      <c r="F189" s="14">
        <v>14.3</v>
      </c>
      <c r="G189" s="58">
        <f t="shared" si="8"/>
        <v>11.8</v>
      </c>
      <c r="H189" s="58">
        <f t="shared" si="10"/>
        <v>19.100000000000001</v>
      </c>
      <c r="I189" s="60">
        <v>19.071045510455104</v>
      </c>
      <c r="J189" s="165">
        <v>17.241784778393001</v>
      </c>
      <c r="K189" s="14">
        <v>12.5100711138452</v>
      </c>
      <c r="L189" s="50">
        <v>14.816970849989152</v>
      </c>
      <c r="M189" s="90">
        <v>99</v>
      </c>
      <c r="N189" s="30">
        <v>49.6666666666667</v>
      </c>
      <c r="O189" s="87">
        <v>78.335424354243557</v>
      </c>
      <c r="P189" s="377">
        <v>1014.97333111926</v>
      </c>
      <c r="Q189" s="21">
        <v>1010.5137549784</v>
      </c>
      <c r="R189" s="382">
        <v>1012.9417687030989</v>
      </c>
      <c r="S189" s="54">
        <v>6.10000000488</v>
      </c>
      <c r="T189" s="47">
        <v>2.9866666690559995</v>
      </c>
      <c r="U189" s="25">
        <v>0.83927429341434978</v>
      </c>
      <c r="V189" s="175" t="s">
        <v>209</v>
      </c>
      <c r="W189" s="197"/>
      <c r="X189" s="16">
        <v>0</v>
      </c>
      <c r="Y189" s="17">
        <v>0</v>
      </c>
      <c r="Z189" s="18">
        <v>0</v>
      </c>
      <c r="AA189" s="394">
        <v>0</v>
      </c>
      <c r="AB189" s="260" t="s">
        <v>367</v>
      </c>
      <c r="AC189" s="200"/>
    </row>
    <row r="190" spans="1:29" s="20" customFormat="1" x14ac:dyDescent="0.3">
      <c r="A190" s="370">
        <v>45479</v>
      </c>
      <c r="B190" s="37">
        <v>19.7</v>
      </c>
      <c r="C190" s="14">
        <v>27.2</v>
      </c>
      <c r="D190" s="14">
        <v>24</v>
      </c>
      <c r="E190" s="14">
        <v>28.7</v>
      </c>
      <c r="F190" s="14">
        <v>12.9</v>
      </c>
      <c r="G190" s="58">
        <f t="shared" si="8"/>
        <v>15.799999999999999</v>
      </c>
      <c r="H190" s="58">
        <f t="shared" si="10"/>
        <v>23.725000000000001</v>
      </c>
      <c r="I190" s="60">
        <v>22.291527777777791</v>
      </c>
      <c r="J190" s="165">
        <v>21.6</v>
      </c>
      <c r="K190" s="14">
        <v>12.5</v>
      </c>
      <c r="L190" s="50">
        <v>17.442083333333375</v>
      </c>
      <c r="M190" s="90">
        <v>99.6</v>
      </c>
      <c r="N190" s="30">
        <v>57.5</v>
      </c>
      <c r="O190" s="87">
        <v>75.551527777777892</v>
      </c>
      <c r="P190" s="377">
        <v>1015.98544715605</v>
      </c>
      <c r="Q190" s="21">
        <v>1010.57564646882</v>
      </c>
      <c r="R190" s="382">
        <v>1013.4266442140923</v>
      </c>
      <c r="S190" s="54">
        <v>9.9000000079199992</v>
      </c>
      <c r="T190" s="47">
        <v>5.3583333376199995</v>
      </c>
      <c r="U190" s="25">
        <v>2.6221305052423585</v>
      </c>
      <c r="V190" s="175" t="s">
        <v>208</v>
      </c>
      <c r="W190" s="197"/>
      <c r="X190" s="16">
        <v>0</v>
      </c>
      <c r="Y190" s="17">
        <v>0</v>
      </c>
      <c r="Z190" s="18">
        <v>0</v>
      </c>
      <c r="AA190" s="394">
        <v>0</v>
      </c>
      <c r="AB190" s="260" t="s">
        <v>374</v>
      </c>
      <c r="AC190" s="200"/>
    </row>
    <row r="191" spans="1:29" s="20" customFormat="1" x14ac:dyDescent="0.3">
      <c r="A191" s="370">
        <v>45480</v>
      </c>
      <c r="B191" s="37">
        <v>23</v>
      </c>
      <c r="C191" s="14">
        <v>30.9</v>
      </c>
      <c r="D191" s="14">
        <v>22.1</v>
      </c>
      <c r="E191" s="14">
        <v>31.5</v>
      </c>
      <c r="F191" s="14">
        <v>16.399999999999999</v>
      </c>
      <c r="G191" s="58">
        <f t="shared" si="8"/>
        <v>15.100000000000001</v>
      </c>
      <c r="H191" s="58">
        <f t="shared" si="10"/>
        <v>24.524999999999999</v>
      </c>
      <c r="I191" s="60">
        <v>24.475763888888913</v>
      </c>
      <c r="J191" s="165">
        <v>23.7</v>
      </c>
      <c r="K191" s="14">
        <v>15.3</v>
      </c>
      <c r="L191" s="50">
        <v>19.434027777777803</v>
      </c>
      <c r="M191" s="90">
        <v>95.9</v>
      </c>
      <c r="N191" s="30">
        <v>54.8</v>
      </c>
      <c r="O191" s="87">
        <v>74.841458333333094</v>
      </c>
      <c r="P191" s="377">
        <v>1015.21606894673</v>
      </c>
      <c r="Q191" s="21">
        <v>1011.02999177136</v>
      </c>
      <c r="R191" s="382">
        <v>1012.380322211858</v>
      </c>
      <c r="S191" s="54">
        <v>8.5000000068000006</v>
      </c>
      <c r="T191" s="47">
        <v>5.5933333378079997</v>
      </c>
      <c r="U191" s="25">
        <v>2.0430280846624966</v>
      </c>
      <c r="V191" s="175" t="s">
        <v>208</v>
      </c>
      <c r="W191" s="197"/>
      <c r="X191" s="16">
        <v>0</v>
      </c>
      <c r="Y191" s="17">
        <v>0</v>
      </c>
      <c r="Z191" s="18">
        <v>0</v>
      </c>
      <c r="AA191" s="394">
        <v>0</v>
      </c>
      <c r="AB191" s="260" t="s">
        <v>241</v>
      </c>
      <c r="AC191" s="200"/>
    </row>
    <row r="192" spans="1:29" s="20" customFormat="1" x14ac:dyDescent="0.3">
      <c r="A192" s="370">
        <v>45481</v>
      </c>
      <c r="B192" s="37">
        <v>19.899999999999999</v>
      </c>
      <c r="C192" s="14">
        <v>29.5</v>
      </c>
      <c r="D192" s="14">
        <v>20.3</v>
      </c>
      <c r="E192" s="14">
        <v>30.1</v>
      </c>
      <c r="F192" s="14">
        <v>17.7</v>
      </c>
      <c r="G192" s="58">
        <f t="shared" si="8"/>
        <v>12.400000000000002</v>
      </c>
      <c r="H192" s="58">
        <f t="shared" si="10"/>
        <v>22.5</v>
      </c>
      <c r="I192" s="60">
        <v>22.069652777777765</v>
      </c>
      <c r="J192" s="165">
        <v>25</v>
      </c>
      <c r="K192" s="14">
        <v>16.899999999999999</v>
      </c>
      <c r="L192" s="50">
        <v>20.049861111111134</v>
      </c>
      <c r="M192" s="90">
        <v>97.5</v>
      </c>
      <c r="N192" s="30">
        <v>68.099999999999994</v>
      </c>
      <c r="O192" s="87">
        <v>89.013819444444536</v>
      </c>
      <c r="P192" s="377">
        <v>1018.7092266775001</v>
      </c>
      <c r="Q192" s="21">
        <v>1014.81476736255</v>
      </c>
      <c r="R192" s="382">
        <v>1016.6704867086074</v>
      </c>
      <c r="S192" s="54">
        <v>7.1000000056800001</v>
      </c>
      <c r="T192" s="47">
        <v>4.6500000037199989</v>
      </c>
      <c r="U192" s="25">
        <v>1.2928225621574756</v>
      </c>
      <c r="V192" s="175" t="s">
        <v>209</v>
      </c>
      <c r="W192" s="197"/>
      <c r="X192" s="16">
        <v>0</v>
      </c>
      <c r="Y192" s="17">
        <v>0</v>
      </c>
      <c r="Z192" s="18">
        <v>0</v>
      </c>
      <c r="AA192" s="394">
        <v>0</v>
      </c>
      <c r="AB192" s="260" t="s">
        <v>258</v>
      </c>
      <c r="AC192" s="200"/>
    </row>
    <row r="193" spans="1:29" s="20" customFormat="1" x14ac:dyDescent="0.3">
      <c r="A193" s="370">
        <v>45482</v>
      </c>
      <c r="B193" s="37">
        <v>21.6</v>
      </c>
      <c r="C193" s="14">
        <v>32.5</v>
      </c>
      <c r="D193" s="14">
        <v>24.2</v>
      </c>
      <c r="E193" s="14">
        <v>33.1</v>
      </c>
      <c r="F193" s="14">
        <v>17.399999999999999</v>
      </c>
      <c r="G193" s="58">
        <f t="shared" si="8"/>
        <v>15.700000000000003</v>
      </c>
      <c r="H193" s="58">
        <f t="shared" si="10"/>
        <v>25.625</v>
      </c>
      <c r="I193" s="60">
        <v>25.314918669579967</v>
      </c>
      <c r="J193" s="165">
        <v>23.599574715786101</v>
      </c>
      <c r="K193" s="14">
        <v>16.012483264142599</v>
      </c>
      <c r="L193" s="50">
        <v>19.830914502119469</v>
      </c>
      <c r="M193" s="90">
        <v>99</v>
      </c>
      <c r="N193" s="30">
        <v>38</v>
      </c>
      <c r="O193" s="87">
        <v>74.249939305656753</v>
      </c>
      <c r="P193" s="377">
        <v>1019.31505457924</v>
      </c>
      <c r="Q193" s="21">
        <v>1016.29356913686</v>
      </c>
      <c r="R193" s="382">
        <v>1017.8794579590902</v>
      </c>
      <c r="S193" s="54">
        <v>4.8000000038400001</v>
      </c>
      <c r="T193" s="47">
        <v>2.4133333352640003</v>
      </c>
      <c r="U193" s="25">
        <v>0.75968681779638003</v>
      </c>
      <c r="V193" s="175" t="s">
        <v>209</v>
      </c>
      <c r="W193" s="197" t="s">
        <v>239</v>
      </c>
      <c r="X193" s="16">
        <v>0</v>
      </c>
      <c r="Y193" s="17">
        <v>0</v>
      </c>
      <c r="Z193" s="18">
        <v>0</v>
      </c>
      <c r="AA193" s="394">
        <v>0</v>
      </c>
      <c r="AB193" s="260" t="s">
        <v>375</v>
      </c>
      <c r="AC193" s="200"/>
    </row>
    <row r="194" spans="1:29" s="20" customFormat="1" ht="28.8" x14ac:dyDescent="0.3">
      <c r="A194" s="370">
        <v>45483</v>
      </c>
      <c r="B194" s="37">
        <v>22.1</v>
      </c>
      <c r="C194" s="14">
        <v>33.799999999999997</v>
      </c>
      <c r="D194" s="14">
        <v>23.3333333333333</v>
      </c>
      <c r="E194" s="14">
        <v>34.6</v>
      </c>
      <c r="F194" s="14">
        <v>18.3</v>
      </c>
      <c r="G194" s="58">
        <f t="shared" si="8"/>
        <v>16.3</v>
      </c>
      <c r="H194" s="58">
        <f t="shared" si="10"/>
        <v>25.641666666666652</v>
      </c>
      <c r="I194" s="60">
        <v>26.293403534253226</v>
      </c>
      <c r="J194" s="165">
        <v>23.264410205067499</v>
      </c>
      <c r="K194" s="14">
        <v>15.370086662453801</v>
      </c>
      <c r="L194" s="50">
        <v>18.608852557125068</v>
      </c>
      <c r="M194" s="90">
        <v>99</v>
      </c>
      <c r="N194" s="30">
        <v>34</v>
      </c>
      <c r="O194" s="87">
        <v>67.167634955216698</v>
      </c>
      <c r="P194" s="377">
        <v>1018.89029034287</v>
      </c>
      <c r="Q194" s="21">
        <v>1014.59977332902</v>
      </c>
      <c r="R194" s="382">
        <v>1016.9672093589282</v>
      </c>
      <c r="S194" s="54">
        <v>6.8000000054400003</v>
      </c>
      <c r="T194" s="47">
        <v>3.7366666696559996</v>
      </c>
      <c r="U194" s="25">
        <v>1.1569232640579559</v>
      </c>
      <c r="V194" s="175" t="s">
        <v>209</v>
      </c>
      <c r="W194" s="197"/>
      <c r="X194" s="16">
        <v>0</v>
      </c>
      <c r="Y194" s="17">
        <v>0</v>
      </c>
      <c r="Z194" s="18">
        <v>0</v>
      </c>
      <c r="AA194" s="394">
        <v>0</v>
      </c>
      <c r="AB194" s="260" t="s">
        <v>376</v>
      </c>
      <c r="AC194" s="200"/>
    </row>
    <row r="195" spans="1:29" s="20" customFormat="1" x14ac:dyDescent="0.3">
      <c r="A195" s="370">
        <v>45484</v>
      </c>
      <c r="B195" s="37">
        <v>21.9</v>
      </c>
      <c r="C195" s="14">
        <v>32.700000000000003</v>
      </c>
      <c r="D195" s="14">
        <v>24.2</v>
      </c>
      <c r="E195" s="14">
        <v>35</v>
      </c>
      <c r="F195" s="14">
        <v>17.600000000000001</v>
      </c>
      <c r="G195" s="58">
        <f t="shared" si="8"/>
        <v>17.399999999999999</v>
      </c>
      <c r="H195" s="58">
        <f t="shared" si="10"/>
        <v>25.75</v>
      </c>
      <c r="I195" s="60">
        <v>25.769923795476824</v>
      </c>
      <c r="J195" s="165">
        <v>24.003462841507201</v>
      </c>
      <c r="K195" s="14">
        <v>15.938036180957001</v>
      </c>
      <c r="L195" s="50">
        <v>19.372113628846005</v>
      </c>
      <c r="M195" s="90">
        <v>99</v>
      </c>
      <c r="N195" s="30">
        <v>38</v>
      </c>
      <c r="O195" s="87">
        <v>70.615535889872191</v>
      </c>
      <c r="P195" s="377">
        <v>1017.3795861206</v>
      </c>
      <c r="Q195" s="21">
        <v>1013.35531775306</v>
      </c>
      <c r="R195" s="382">
        <v>1015.2643845067844</v>
      </c>
      <c r="S195" s="54">
        <v>6.10000000488</v>
      </c>
      <c r="T195" s="47">
        <v>3.7400000029920002</v>
      </c>
      <c r="U195" s="25">
        <v>1.0428466085038917</v>
      </c>
      <c r="V195" s="175" t="s">
        <v>209</v>
      </c>
      <c r="W195" s="197"/>
      <c r="X195" s="16">
        <v>0</v>
      </c>
      <c r="Y195" s="17">
        <v>0</v>
      </c>
      <c r="Z195" s="18">
        <v>0</v>
      </c>
      <c r="AA195" s="394">
        <v>0</v>
      </c>
      <c r="AB195" s="260" t="s">
        <v>377</v>
      </c>
      <c r="AC195" s="200"/>
    </row>
    <row r="196" spans="1:29" s="20" customFormat="1" x14ac:dyDescent="0.3">
      <c r="A196" s="370">
        <v>45485</v>
      </c>
      <c r="B196" s="37">
        <v>22.4</v>
      </c>
      <c r="C196" s="14">
        <v>32.799999999999997</v>
      </c>
      <c r="D196" s="14">
        <v>27.4</v>
      </c>
      <c r="E196" s="14">
        <v>34.1</v>
      </c>
      <c r="F196" s="14">
        <v>18.3</v>
      </c>
      <c r="G196" s="58">
        <f t="shared" si="8"/>
        <v>15.8</v>
      </c>
      <c r="H196" s="58">
        <f t="shared" si="10"/>
        <v>27.5</v>
      </c>
      <c r="I196" s="60">
        <v>26.696956087824372</v>
      </c>
      <c r="J196" s="165">
        <v>22.8368928574458</v>
      </c>
      <c r="K196" s="14">
        <v>16.7276382218602</v>
      </c>
      <c r="L196" s="50">
        <v>19.408305333827833</v>
      </c>
      <c r="M196" s="90">
        <v>98</v>
      </c>
      <c r="N196" s="30">
        <v>40</v>
      </c>
      <c r="O196" s="87">
        <v>67.485903193612785</v>
      </c>
      <c r="P196" s="377">
        <v>1015.562047442</v>
      </c>
      <c r="Q196" s="21">
        <v>1008.25046970183</v>
      </c>
      <c r="R196" s="382">
        <v>1012.1808927522399</v>
      </c>
      <c r="S196" s="54">
        <v>5.8000000046400002</v>
      </c>
      <c r="T196" s="47">
        <v>3.6466666695840004</v>
      </c>
      <c r="U196" s="25">
        <v>1.229491018947664</v>
      </c>
      <c r="V196" s="175" t="s">
        <v>208</v>
      </c>
      <c r="W196" s="197"/>
      <c r="X196" s="16">
        <v>0</v>
      </c>
      <c r="Y196" s="17">
        <v>0</v>
      </c>
      <c r="Z196" s="18">
        <v>0</v>
      </c>
      <c r="AA196" s="394">
        <v>0</v>
      </c>
      <c r="AB196" s="260" t="s">
        <v>378</v>
      </c>
      <c r="AC196" s="200"/>
    </row>
    <row r="197" spans="1:29" s="20" customFormat="1" x14ac:dyDescent="0.3">
      <c r="A197" s="370">
        <v>45486</v>
      </c>
      <c r="B197" s="37">
        <v>27.7</v>
      </c>
      <c r="C197" s="14">
        <v>34.6</v>
      </c>
      <c r="D197" s="14">
        <v>20</v>
      </c>
      <c r="E197" s="14">
        <v>35.1</v>
      </c>
      <c r="F197" s="14">
        <v>19.7</v>
      </c>
      <c r="G197" s="58">
        <f t="shared" si="8"/>
        <v>15.400000000000002</v>
      </c>
      <c r="H197" s="58">
        <f t="shared" si="10"/>
        <v>25.574999999999999</v>
      </c>
      <c r="I197" s="60">
        <v>27.222181729834585</v>
      </c>
      <c r="J197" s="165">
        <v>21.899174616739899</v>
      </c>
      <c r="K197" s="14">
        <v>16.891762233138699</v>
      </c>
      <c r="L197" s="50">
        <v>19.746374601965304</v>
      </c>
      <c r="M197" s="90">
        <v>95</v>
      </c>
      <c r="N197" s="30">
        <v>41</v>
      </c>
      <c r="O197" s="87">
        <v>66.686953352769663</v>
      </c>
      <c r="P197" s="377">
        <v>1013.04124404355</v>
      </c>
      <c r="Q197" s="21">
        <v>1007.1975305621</v>
      </c>
      <c r="R197" s="382">
        <v>1009.4014900289487</v>
      </c>
      <c r="S197" s="54">
        <v>10.20000000816</v>
      </c>
      <c r="T197" s="47">
        <v>6.0516666715080003</v>
      </c>
      <c r="U197" s="25">
        <v>2.4011054440977406</v>
      </c>
      <c r="V197" s="175" t="s">
        <v>208</v>
      </c>
      <c r="W197" s="198" t="s">
        <v>264</v>
      </c>
      <c r="X197" s="26">
        <v>174</v>
      </c>
      <c r="Y197" s="27">
        <v>33</v>
      </c>
      <c r="Z197" s="28">
        <v>0</v>
      </c>
      <c r="AA197" s="396">
        <v>0</v>
      </c>
      <c r="AB197" s="261" t="s">
        <v>379</v>
      </c>
      <c r="AC197" s="200"/>
    </row>
    <row r="198" spans="1:29" s="20" customFormat="1" x14ac:dyDescent="0.3">
      <c r="A198" s="370">
        <v>45487</v>
      </c>
      <c r="B198" s="37">
        <v>20.3</v>
      </c>
      <c r="C198" s="14">
        <v>31.8</v>
      </c>
      <c r="D198" s="14">
        <v>19.7</v>
      </c>
      <c r="E198" s="14">
        <v>33.1</v>
      </c>
      <c r="F198" s="14">
        <v>18.8</v>
      </c>
      <c r="G198" s="58">
        <f t="shared" si="8"/>
        <v>14.3</v>
      </c>
      <c r="H198" s="58">
        <f t="shared" si="10"/>
        <v>22.875</v>
      </c>
      <c r="I198" s="60">
        <v>22.657610017019216</v>
      </c>
      <c r="J198" s="165">
        <v>24.539537880568702</v>
      </c>
      <c r="K198" s="14">
        <v>17.5695321448767</v>
      </c>
      <c r="L198" s="50">
        <v>19.684787972790058</v>
      </c>
      <c r="M198" s="90">
        <v>99</v>
      </c>
      <c r="N198" s="30">
        <v>47</v>
      </c>
      <c r="O198" s="87">
        <v>85.119134451738404</v>
      </c>
      <c r="P198" s="377">
        <v>1015.1170041525299</v>
      </c>
      <c r="Q198" s="21">
        <v>1010.21400682505</v>
      </c>
      <c r="R198" s="382">
        <v>1012.0820942275236</v>
      </c>
      <c r="S198" s="54">
        <v>6.10000000488</v>
      </c>
      <c r="T198" s="47">
        <v>3.4933333361279999</v>
      </c>
      <c r="U198" s="25">
        <v>0.89365426767335343</v>
      </c>
      <c r="V198" s="175" t="s">
        <v>209</v>
      </c>
      <c r="W198" s="198" t="s">
        <v>214</v>
      </c>
      <c r="X198" s="26">
        <v>120</v>
      </c>
      <c r="Y198" s="27">
        <v>18</v>
      </c>
      <c r="Z198" s="28">
        <v>0</v>
      </c>
      <c r="AA198" s="396">
        <v>0</v>
      </c>
      <c r="AB198" s="261" t="s">
        <v>388</v>
      </c>
      <c r="AC198" s="200"/>
    </row>
    <row r="199" spans="1:29" s="20" customFormat="1" x14ac:dyDescent="0.3">
      <c r="A199" s="370">
        <v>45488</v>
      </c>
      <c r="B199" s="37">
        <v>21.466666666666701</v>
      </c>
      <c r="C199" s="14">
        <v>31.1</v>
      </c>
      <c r="D199" s="14">
        <v>23.5</v>
      </c>
      <c r="E199" s="14">
        <v>31.9</v>
      </c>
      <c r="F199" s="14">
        <v>17.899999999999999</v>
      </c>
      <c r="G199" s="58">
        <f t="shared" si="8"/>
        <v>14</v>
      </c>
      <c r="H199" s="58">
        <f t="shared" si="10"/>
        <v>24.891666666666676</v>
      </c>
      <c r="I199" s="60">
        <v>24.658738548273366</v>
      </c>
      <c r="J199" s="165">
        <v>24.531535729900899</v>
      </c>
      <c r="K199" s="14">
        <v>16.919046855126901</v>
      </c>
      <c r="L199" s="50">
        <v>20.704366562365291</v>
      </c>
      <c r="M199" s="90">
        <v>99</v>
      </c>
      <c r="N199" s="30">
        <v>55</v>
      </c>
      <c r="O199" s="87">
        <v>80.641296687808335</v>
      </c>
      <c r="P199" s="377">
        <v>1014.80255950302</v>
      </c>
      <c r="Q199" s="21">
        <v>1011.75397959024</v>
      </c>
      <c r="R199" s="382">
        <v>1013.3961728969626</v>
      </c>
      <c r="S199" s="54">
        <v>6.10000000488</v>
      </c>
      <c r="T199" s="47">
        <v>3.6500000029200002</v>
      </c>
      <c r="U199" s="25">
        <v>1.1634484387978028</v>
      </c>
      <c r="V199" s="175" t="s">
        <v>209</v>
      </c>
      <c r="W199" s="198"/>
      <c r="X199" s="26">
        <v>0</v>
      </c>
      <c r="Y199" s="27">
        <v>0</v>
      </c>
      <c r="Z199" s="28">
        <v>0</v>
      </c>
      <c r="AA199" s="396">
        <v>0</v>
      </c>
      <c r="AB199" s="261" t="s">
        <v>265</v>
      </c>
      <c r="AC199" s="200"/>
    </row>
    <row r="200" spans="1:29" s="20" customFormat="1" x14ac:dyDescent="0.3">
      <c r="A200" s="370">
        <v>45489</v>
      </c>
      <c r="B200" s="37">
        <v>22.1</v>
      </c>
      <c r="C200" s="14">
        <v>28.3</v>
      </c>
      <c r="D200" s="14">
        <v>24.7</v>
      </c>
      <c r="E200" s="14">
        <v>32.299999999999997</v>
      </c>
      <c r="F200" s="14">
        <v>19.399999999999999</v>
      </c>
      <c r="G200" s="58">
        <f t="shared" si="8"/>
        <v>12.899999999999999</v>
      </c>
      <c r="H200" s="58">
        <f t="shared" si="10"/>
        <v>24.950000000000003</v>
      </c>
      <c r="I200" s="60">
        <v>25.408515019379927</v>
      </c>
      <c r="J200" s="165">
        <v>24.289656074890299</v>
      </c>
      <c r="K200" s="14">
        <v>18.236746223762101</v>
      </c>
      <c r="L200" s="50">
        <v>21.2539470096809</v>
      </c>
      <c r="M200" s="90">
        <v>99</v>
      </c>
      <c r="N200" s="30">
        <v>52</v>
      </c>
      <c r="O200" s="87">
        <v>79.397044573643413</v>
      </c>
      <c r="P200" s="377">
        <v>1013.57547055561</v>
      </c>
      <c r="Q200" s="21">
        <v>1011.00124670616</v>
      </c>
      <c r="R200" s="382">
        <v>1012.4073013179735</v>
      </c>
      <c r="S200" s="54">
        <v>7.1000000056800001</v>
      </c>
      <c r="T200" s="47">
        <v>4.5200000036159995</v>
      </c>
      <c r="U200" s="25">
        <v>0.91464389608055363</v>
      </c>
      <c r="V200" s="175" t="s">
        <v>209</v>
      </c>
      <c r="W200" s="198" t="s">
        <v>214</v>
      </c>
      <c r="X200" s="26">
        <v>90</v>
      </c>
      <c r="Y200" s="27">
        <v>35</v>
      </c>
      <c r="Z200" s="28">
        <v>0</v>
      </c>
      <c r="AA200" s="396">
        <v>0</v>
      </c>
      <c r="AB200" s="261" t="s">
        <v>394</v>
      </c>
      <c r="AC200" s="200"/>
    </row>
    <row r="201" spans="1:29" s="20" customFormat="1" x14ac:dyDescent="0.3">
      <c r="A201" s="370">
        <v>45490</v>
      </c>
      <c r="B201" s="37">
        <v>21.2</v>
      </c>
      <c r="C201" s="14">
        <v>29.8</v>
      </c>
      <c r="D201" s="14">
        <v>23.1</v>
      </c>
      <c r="E201" s="14">
        <v>31.1</v>
      </c>
      <c r="F201" s="14">
        <v>20.8</v>
      </c>
      <c r="G201" s="58">
        <f t="shared" si="8"/>
        <v>10.3</v>
      </c>
      <c r="H201" s="58">
        <f t="shared" si="10"/>
        <v>24.3</v>
      </c>
      <c r="I201" s="60">
        <v>24.855178351783504</v>
      </c>
      <c r="J201" s="165">
        <v>23.850618442337701</v>
      </c>
      <c r="K201" s="14">
        <v>18.6860538878657</v>
      </c>
      <c r="L201" s="50">
        <v>20.979142525124249</v>
      </c>
      <c r="M201" s="90">
        <v>99</v>
      </c>
      <c r="N201" s="30">
        <v>58.6666666666667</v>
      </c>
      <c r="O201" s="87">
        <v>80.790036900369003</v>
      </c>
      <c r="P201" s="377">
        <v>1018.93141384403</v>
      </c>
      <c r="Q201" s="21">
        <v>1013.27635681953</v>
      </c>
      <c r="R201" s="382">
        <v>1016.3965162414141</v>
      </c>
      <c r="S201" s="54">
        <v>7.5000000059999996</v>
      </c>
      <c r="T201" s="47">
        <v>4.7766666704879999</v>
      </c>
      <c r="U201" s="25">
        <v>1.5185608868237102</v>
      </c>
      <c r="V201" s="175" t="s">
        <v>210</v>
      </c>
      <c r="W201" s="198" t="s">
        <v>214</v>
      </c>
      <c r="X201" s="26">
        <v>12</v>
      </c>
      <c r="Y201" s="27">
        <v>1</v>
      </c>
      <c r="Z201" s="28">
        <v>0</v>
      </c>
      <c r="AA201" s="396">
        <v>0</v>
      </c>
      <c r="AB201" s="261" t="s">
        <v>397</v>
      </c>
      <c r="AC201" s="200"/>
    </row>
    <row r="202" spans="1:29" s="20" customFormat="1" x14ac:dyDescent="0.3">
      <c r="A202" s="370">
        <v>45491</v>
      </c>
      <c r="B202" s="37">
        <v>21.4</v>
      </c>
      <c r="C202" s="14">
        <v>29.1</v>
      </c>
      <c r="D202" s="14">
        <v>20.6</v>
      </c>
      <c r="E202" s="14">
        <v>29.5</v>
      </c>
      <c r="F202" s="14">
        <v>16.7</v>
      </c>
      <c r="G202" s="58">
        <f t="shared" si="8"/>
        <v>12.8</v>
      </c>
      <c r="H202" s="58">
        <f t="shared" si="10"/>
        <v>22.925000000000001</v>
      </c>
      <c r="I202" s="60">
        <v>23.505216284987284</v>
      </c>
      <c r="J202" s="165">
        <v>20.901577555606298</v>
      </c>
      <c r="K202" s="14">
        <v>14.780249248312799</v>
      </c>
      <c r="L202" s="50">
        <v>17.873590888188129</v>
      </c>
      <c r="M202" s="90">
        <v>94</v>
      </c>
      <c r="N202" s="30">
        <v>52</v>
      </c>
      <c r="O202" s="87">
        <v>72.560305343511445</v>
      </c>
      <c r="P202" s="377">
        <v>1021.4322407488301</v>
      </c>
      <c r="Q202" s="21">
        <v>1018.30081928176</v>
      </c>
      <c r="R202" s="382">
        <v>1020.0548079999421</v>
      </c>
      <c r="S202" s="54">
        <v>7.8000000062400003</v>
      </c>
      <c r="T202" s="47">
        <v>4.7766666704880008</v>
      </c>
      <c r="U202" s="25">
        <v>1.6972137418157813</v>
      </c>
      <c r="V202" s="175" t="s">
        <v>209</v>
      </c>
      <c r="W202" s="198"/>
      <c r="X202" s="26">
        <v>0</v>
      </c>
      <c r="Y202" s="27">
        <v>0</v>
      </c>
      <c r="Z202" s="28">
        <v>0</v>
      </c>
      <c r="AA202" s="396">
        <v>0</v>
      </c>
      <c r="AB202" s="261" t="s">
        <v>255</v>
      </c>
      <c r="AC202" s="200"/>
    </row>
    <row r="203" spans="1:29" s="20" customFormat="1" x14ac:dyDescent="0.3">
      <c r="A203" s="370">
        <v>45492</v>
      </c>
      <c r="B203" s="37">
        <v>18.7</v>
      </c>
      <c r="C203" s="14">
        <v>29.5</v>
      </c>
      <c r="D203" s="14">
        <v>20.3333333333333</v>
      </c>
      <c r="E203" s="14">
        <v>29.8333333333333</v>
      </c>
      <c r="F203" s="14">
        <v>14.9</v>
      </c>
      <c r="G203" s="58">
        <f t="shared" si="8"/>
        <v>14.9333333333333</v>
      </c>
      <c r="H203" s="58">
        <f t="shared" si="10"/>
        <v>22.216666666666651</v>
      </c>
      <c r="I203" s="60">
        <v>22.488540145985375</v>
      </c>
      <c r="J203" s="165">
        <v>19.4258868320331</v>
      </c>
      <c r="K203" s="14">
        <v>13.056471766922</v>
      </c>
      <c r="L203" s="50">
        <v>15.157923475851238</v>
      </c>
      <c r="M203" s="90">
        <v>97</v>
      </c>
      <c r="N203" s="30">
        <v>40</v>
      </c>
      <c r="O203" s="87">
        <v>66.808880778588801</v>
      </c>
      <c r="P203" s="377">
        <v>1020.97723107476</v>
      </c>
      <c r="Q203" s="21">
        <v>1015.2334735672</v>
      </c>
      <c r="R203" s="382">
        <v>1018.0894666838172</v>
      </c>
      <c r="S203" s="54">
        <v>7.1000000056800001</v>
      </c>
      <c r="T203" s="47">
        <v>4.6533333370559999</v>
      </c>
      <c r="U203" s="25">
        <v>1.3857055972156263</v>
      </c>
      <c r="V203" s="175" t="s">
        <v>209</v>
      </c>
      <c r="W203" s="198"/>
      <c r="X203" s="26">
        <v>0</v>
      </c>
      <c r="Y203" s="27">
        <v>0</v>
      </c>
      <c r="Z203" s="28">
        <v>0</v>
      </c>
      <c r="AA203" s="396">
        <v>0</v>
      </c>
      <c r="AB203" s="261" t="s">
        <v>255</v>
      </c>
      <c r="AC203" s="200"/>
    </row>
    <row r="204" spans="1:29" s="20" customFormat="1" x14ac:dyDescent="0.3">
      <c r="A204" s="370">
        <v>45493</v>
      </c>
      <c r="B204" s="37">
        <v>18.2</v>
      </c>
      <c r="C204" s="14">
        <v>28.6</v>
      </c>
      <c r="D204" s="14">
        <v>22</v>
      </c>
      <c r="E204" s="14">
        <v>30.4</v>
      </c>
      <c r="F204" s="14">
        <v>13.7</v>
      </c>
      <c r="G204" s="58">
        <f t="shared" si="8"/>
        <v>16.7</v>
      </c>
      <c r="H204" s="58">
        <f t="shared" si="10"/>
        <v>22.7</v>
      </c>
      <c r="I204" s="60">
        <v>22.576978939724039</v>
      </c>
      <c r="J204" s="165">
        <v>20.246758215310599</v>
      </c>
      <c r="K204" s="14">
        <v>11.747160450834899</v>
      </c>
      <c r="L204" s="50">
        <v>16.446541139972279</v>
      </c>
      <c r="M204" s="90">
        <v>97</v>
      </c>
      <c r="N204" s="30">
        <v>47</v>
      </c>
      <c r="O204" s="87">
        <v>70.369402081820397</v>
      </c>
      <c r="P204" s="377">
        <v>1016.24912970754</v>
      </c>
      <c r="Q204" s="21">
        <v>1008.1761048990199</v>
      </c>
      <c r="R204" s="382">
        <v>1011.0989863724267</v>
      </c>
      <c r="S204" s="54">
        <v>7.1000000056800001</v>
      </c>
      <c r="T204" s="47">
        <v>3.8000000030400001</v>
      </c>
      <c r="U204" s="25">
        <v>0.97806826512523315</v>
      </c>
      <c r="V204" s="175" t="s">
        <v>209</v>
      </c>
      <c r="W204" s="198"/>
      <c r="X204" s="26">
        <v>0</v>
      </c>
      <c r="Y204" s="27">
        <v>0</v>
      </c>
      <c r="Z204" s="28">
        <v>0</v>
      </c>
      <c r="AA204" s="396">
        <v>0</v>
      </c>
      <c r="AB204" s="261" t="s">
        <v>258</v>
      </c>
      <c r="AC204" s="200"/>
    </row>
    <row r="205" spans="1:29" s="20" customFormat="1" x14ac:dyDescent="0.3">
      <c r="A205" s="370">
        <v>45494</v>
      </c>
      <c r="B205" s="37">
        <v>19.5</v>
      </c>
      <c r="C205" s="14">
        <v>27.6</v>
      </c>
      <c r="D205" s="14">
        <v>20.8</v>
      </c>
      <c r="E205" s="14">
        <v>29.133333333333301</v>
      </c>
      <c r="F205" s="14">
        <v>17.100000000000001</v>
      </c>
      <c r="G205" s="58">
        <f t="shared" si="8"/>
        <v>12.033333333333299</v>
      </c>
      <c r="H205" s="58">
        <f t="shared" si="10"/>
        <v>22.175000000000001</v>
      </c>
      <c r="I205" s="60">
        <v>22.430559593023258</v>
      </c>
      <c r="J205" s="165">
        <v>21.136210098846998</v>
      </c>
      <c r="K205" s="14">
        <v>15.1434456683566</v>
      </c>
      <c r="L205" s="50">
        <v>17.841454742925045</v>
      </c>
      <c r="M205" s="90">
        <v>97</v>
      </c>
      <c r="N205" s="30">
        <v>52</v>
      </c>
      <c r="O205" s="87">
        <v>76.593628875969031</v>
      </c>
      <c r="P205" s="377">
        <v>1010.80175389797</v>
      </c>
      <c r="Q205" s="21">
        <v>1007.08010819827</v>
      </c>
      <c r="R205" s="382">
        <v>1008.3150293431435</v>
      </c>
      <c r="S205" s="54">
        <v>6.8000000054400003</v>
      </c>
      <c r="T205" s="47">
        <v>4.5900000036720003</v>
      </c>
      <c r="U205" s="25">
        <v>0.74398013625409243</v>
      </c>
      <c r="V205" s="175" t="s">
        <v>209</v>
      </c>
      <c r="W205" s="198" t="s">
        <v>239</v>
      </c>
      <c r="X205" s="26">
        <v>0</v>
      </c>
      <c r="Y205" s="27">
        <v>0</v>
      </c>
      <c r="Z205" s="28">
        <v>0</v>
      </c>
      <c r="AA205" s="396">
        <v>0</v>
      </c>
      <c r="AB205" s="261" t="s">
        <v>398</v>
      </c>
      <c r="AC205" s="200"/>
    </row>
    <row r="206" spans="1:29" s="20" customFormat="1" x14ac:dyDescent="0.3">
      <c r="A206" s="370">
        <v>45495</v>
      </c>
      <c r="B206" s="37">
        <v>18.3</v>
      </c>
      <c r="C206" s="14">
        <v>31.7</v>
      </c>
      <c r="D206" s="14">
        <v>19.7</v>
      </c>
      <c r="E206" s="14">
        <v>31.7</v>
      </c>
      <c r="F206" s="14">
        <v>14.7</v>
      </c>
      <c r="G206" s="58">
        <f t="shared" si="8"/>
        <v>17</v>
      </c>
      <c r="H206" s="58">
        <f t="shared" si="10"/>
        <v>22.35</v>
      </c>
      <c r="I206" s="60">
        <v>22.897655490767736</v>
      </c>
      <c r="J206" s="165">
        <v>19.461213937927901</v>
      </c>
      <c r="K206" s="14">
        <v>13.4126203428451</v>
      </c>
      <c r="L206" s="50">
        <v>16.180430674808466</v>
      </c>
      <c r="M206" s="90">
        <v>99</v>
      </c>
      <c r="N206" s="30">
        <v>38</v>
      </c>
      <c r="O206" s="87">
        <v>69.922619047619065</v>
      </c>
      <c r="P206" s="377">
        <v>1014.43785406001</v>
      </c>
      <c r="Q206" s="21">
        <v>1009.5044354865699</v>
      </c>
      <c r="R206" s="382">
        <v>1011.1197811081732</v>
      </c>
      <c r="S206" s="54">
        <v>5.8000000046400002</v>
      </c>
      <c r="T206" s="47">
        <v>3.4300000027439999</v>
      </c>
      <c r="U206" s="25">
        <v>0.98577502508405968</v>
      </c>
      <c r="V206" s="175" t="s">
        <v>209</v>
      </c>
      <c r="W206" s="198" t="s">
        <v>239</v>
      </c>
      <c r="X206" s="26">
        <v>0</v>
      </c>
      <c r="Y206" s="27">
        <v>0</v>
      </c>
      <c r="Z206" s="28">
        <v>0</v>
      </c>
      <c r="AA206" s="396">
        <v>0</v>
      </c>
      <c r="AB206" s="261" t="s">
        <v>402</v>
      </c>
      <c r="AC206" s="200"/>
    </row>
    <row r="207" spans="1:29" s="20" customFormat="1" x14ac:dyDescent="0.3">
      <c r="A207" s="370">
        <v>45496</v>
      </c>
      <c r="B207" s="37">
        <v>20.2</v>
      </c>
      <c r="C207" s="14">
        <v>28</v>
      </c>
      <c r="D207" s="14">
        <v>20.8</v>
      </c>
      <c r="E207" s="14">
        <v>29.2</v>
      </c>
      <c r="F207" s="14">
        <v>15.5</v>
      </c>
      <c r="G207" s="58">
        <f t="shared" si="8"/>
        <v>13.7</v>
      </c>
      <c r="H207" s="58">
        <f t="shared" si="10"/>
        <v>22.450000000000003</v>
      </c>
      <c r="I207" s="60">
        <v>22.370390587093617</v>
      </c>
      <c r="J207" s="165">
        <v>22.297456214859199</v>
      </c>
      <c r="K207" s="14">
        <v>14.2044674686004</v>
      </c>
      <c r="L207" s="50">
        <v>17.297827337676722</v>
      </c>
      <c r="M207" s="90">
        <v>99</v>
      </c>
      <c r="N207" s="30">
        <v>50.6666666666667</v>
      </c>
      <c r="O207" s="87">
        <v>74.971373119844742</v>
      </c>
      <c r="P207" s="377">
        <v>1016.06650336669</v>
      </c>
      <c r="Q207" s="21">
        <v>1012.79012515836</v>
      </c>
      <c r="R207" s="382">
        <v>1014.595073519639</v>
      </c>
      <c r="S207" s="54">
        <v>6.5000000052000004</v>
      </c>
      <c r="T207" s="47">
        <v>4.0433333365679998</v>
      </c>
      <c r="U207" s="25">
        <v>1.2473071334578174</v>
      </c>
      <c r="V207" s="175" t="s">
        <v>209</v>
      </c>
      <c r="W207" s="198"/>
      <c r="X207" s="26">
        <v>0</v>
      </c>
      <c r="Y207" s="27">
        <v>0</v>
      </c>
      <c r="Z207" s="28">
        <v>0</v>
      </c>
      <c r="AA207" s="396">
        <v>0</v>
      </c>
      <c r="AB207" s="261" t="s">
        <v>258</v>
      </c>
      <c r="AC207" s="200"/>
    </row>
    <row r="208" spans="1:29" s="20" customFormat="1" x14ac:dyDescent="0.3">
      <c r="A208" s="370">
        <v>45497</v>
      </c>
      <c r="B208" s="37">
        <v>18.3</v>
      </c>
      <c r="C208" s="14">
        <v>28</v>
      </c>
      <c r="D208" s="14">
        <v>16.600000000000001</v>
      </c>
      <c r="E208" s="14">
        <v>29.7</v>
      </c>
      <c r="F208" s="14">
        <v>14.4</v>
      </c>
      <c r="G208" s="58">
        <f t="shared" si="8"/>
        <v>15.299999999999999</v>
      </c>
      <c r="H208" s="58">
        <f t="shared" si="10"/>
        <v>19.875</v>
      </c>
      <c r="I208" s="60">
        <v>20.101733333333335</v>
      </c>
      <c r="J208" s="165">
        <v>19.669666287320801</v>
      </c>
      <c r="K208" s="14">
        <v>12.779305848441499</v>
      </c>
      <c r="L208" s="50">
        <v>15.412183838161772</v>
      </c>
      <c r="M208" s="90">
        <v>98</v>
      </c>
      <c r="N208" s="30">
        <v>39</v>
      </c>
      <c r="O208" s="87">
        <v>77.13963636363637</v>
      </c>
      <c r="P208" s="377">
        <v>1014.09850429761</v>
      </c>
      <c r="Q208" s="21">
        <v>1008.80069004802</v>
      </c>
      <c r="R208" s="382">
        <v>1012.0001094559716</v>
      </c>
      <c r="S208" s="54">
        <v>10.20000000816</v>
      </c>
      <c r="T208" s="47">
        <v>5.6866666712159999</v>
      </c>
      <c r="U208" s="25">
        <v>1.0033090917117407</v>
      </c>
      <c r="V208" s="175" t="s">
        <v>209</v>
      </c>
      <c r="W208" s="198" t="s">
        <v>214</v>
      </c>
      <c r="X208" s="26">
        <v>30</v>
      </c>
      <c r="Y208" s="27">
        <v>1.6</v>
      </c>
      <c r="Z208" s="28">
        <v>0</v>
      </c>
      <c r="AA208" s="396">
        <v>0</v>
      </c>
      <c r="AB208" s="261" t="s">
        <v>274</v>
      </c>
      <c r="AC208" s="200"/>
    </row>
    <row r="209" spans="1:29" s="20" customFormat="1" x14ac:dyDescent="0.3">
      <c r="A209" s="370">
        <v>45498</v>
      </c>
      <c r="B209" s="37">
        <v>16.7</v>
      </c>
      <c r="C209" s="14">
        <v>24.6</v>
      </c>
      <c r="D209" s="14">
        <v>17.100000000000001</v>
      </c>
      <c r="E209" s="14">
        <v>25.6</v>
      </c>
      <c r="F209" s="14">
        <v>13.3</v>
      </c>
      <c r="G209" s="58">
        <f t="shared" si="8"/>
        <v>12.3</v>
      </c>
      <c r="H209" s="58">
        <f t="shared" si="10"/>
        <v>18.875</v>
      </c>
      <c r="I209" s="60">
        <v>19.079206233260255</v>
      </c>
      <c r="J209" s="165">
        <v>18.539149446196699</v>
      </c>
      <c r="K209" s="14">
        <v>10.6524085666973</v>
      </c>
      <c r="L209" s="50">
        <v>13.730550835834629</v>
      </c>
      <c r="M209" s="90">
        <v>99</v>
      </c>
      <c r="N209" s="30">
        <v>46</v>
      </c>
      <c r="O209" s="87">
        <v>73.575359142926729</v>
      </c>
      <c r="P209" s="377">
        <v>1013.5621647481</v>
      </c>
      <c r="Q209" s="21">
        <v>1010.2959968374</v>
      </c>
      <c r="R209" s="382">
        <v>1011.7140948185433</v>
      </c>
      <c r="S209" s="54">
        <v>9.2000000073599999</v>
      </c>
      <c r="T209" s="47">
        <v>4.9666666706400004</v>
      </c>
      <c r="U209" s="25">
        <v>1.654833212913831</v>
      </c>
      <c r="V209" s="175" t="s">
        <v>210</v>
      </c>
      <c r="W209" s="198"/>
      <c r="X209" s="26">
        <v>0</v>
      </c>
      <c r="Y209" s="27">
        <v>0</v>
      </c>
      <c r="Z209" s="28">
        <v>0</v>
      </c>
      <c r="AA209" s="396">
        <v>0</v>
      </c>
      <c r="AB209" s="261" t="s">
        <v>404</v>
      </c>
      <c r="AC209" s="200"/>
    </row>
    <row r="210" spans="1:29" s="20" customFormat="1" x14ac:dyDescent="0.3">
      <c r="A210" s="370">
        <v>45499</v>
      </c>
      <c r="B210" s="37">
        <v>15.1</v>
      </c>
      <c r="C210" s="14">
        <v>27.4</v>
      </c>
      <c r="D210" s="14">
        <v>16.3</v>
      </c>
      <c r="E210" s="14">
        <v>27.5</v>
      </c>
      <c r="F210" s="14">
        <v>10.6</v>
      </c>
      <c r="G210" s="58">
        <f t="shared" si="8"/>
        <v>16.899999999999999</v>
      </c>
      <c r="H210" s="58">
        <f t="shared" si="10"/>
        <v>18.774999999999999</v>
      </c>
      <c r="I210" s="60">
        <v>19.358424110384846</v>
      </c>
      <c r="J210" s="165">
        <v>16.254733596267599</v>
      </c>
      <c r="K210" s="14">
        <v>8.1886743364619505</v>
      </c>
      <c r="L210" s="50">
        <v>11.539448674515048</v>
      </c>
      <c r="M210" s="90">
        <v>97</v>
      </c>
      <c r="N210" s="30">
        <v>32</v>
      </c>
      <c r="O210" s="87">
        <v>65.372549019607902</v>
      </c>
      <c r="P210" s="377">
        <v>1016.55875490832</v>
      </c>
      <c r="Q210" s="21">
        <v>1012.03911527338</v>
      </c>
      <c r="R210" s="382">
        <v>1013.4471261014839</v>
      </c>
      <c r="S210" s="54">
        <v>6.8000000054400003</v>
      </c>
      <c r="T210" s="47">
        <v>3.4366666694159997</v>
      </c>
      <c r="U210" s="25">
        <v>0.93131203173028221</v>
      </c>
      <c r="V210" s="175" t="s">
        <v>209</v>
      </c>
      <c r="W210" s="198"/>
      <c r="X210" s="26">
        <v>0</v>
      </c>
      <c r="Y210" s="27">
        <v>0</v>
      </c>
      <c r="Z210" s="28">
        <v>0</v>
      </c>
      <c r="AA210" s="396">
        <v>0</v>
      </c>
      <c r="AB210" s="261" t="s">
        <v>297</v>
      </c>
      <c r="AC210" s="200"/>
    </row>
    <row r="211" spans="1:29" s="20" customFormat="1" x14ac:dyDescent="0.3">
      <c r="A211" s="370">
        <v>45500</v>
      </c>
      <c r="B211" s="37">
        <v>16.3</v>
      </c>
      <c r="C211" s="14">
        <v>30.2</v>
      </c>
      <c r="D211" s="14">
        <v>21.5</v>
      </c>
      <c r="E211" s="14">
        <v>30.5</v>
      </c>
      <c r="F211" s="14">
        <v>12.3</v>
      </c>
      <c r="G211" s="58">
        <f t="shared" si="8"/>
        <v>18.2</v>
      </c>
      <c r="H211" s="58">
        <f t="shared" si="10"/>
        <v>22.375</v>
      </c>
      <c r="I211" s="60">
        <v>21.794291243347864</v>
      </c>
      <c r="J211" s="165">
        <v>17.3552080811534</v>
      </c>
      <c r="K211" s="14">
        <v>10.7354606797955</v>
      </c>
      <c r="L211" s="50">
        <v>13.529882205395889</v>
      </c>
      <c r="M211" s="90">
        <v>98</v>
      </c>
      <c r="N211" s="30">
        <v>32</v>
      </c>
      <c r="O211" s="87">
        <v>64.207910014513786</v>
      </c>
      <c r="P211" s="377">
        <v>1018.05256471385</v>
      </c>
      <c r="Q211" s="21">
        <v>1015.0522061686301</v>
      </c>
      <c r="R211" s="382">
        <v>1016.5910110071782</v>
      </c>
      <c r="S211" s="54">
        <v>7.1000000056800001</v>
      </c>
      <c r="T211" s="47">
        <v>4.5033333369359996</v>
      </c>
      <c r="U211" s="25">
        <v>1.4912191593932609</v>
      </c>
      <c r="V211" s="175" t="s">
        <v>209</v>
      </c>
      <c r="W211" s="198"/>
      <c r="X211" s="26">
        <v>0</v>
      </c>
      <c r="Y211" s="27">
        <v>0</v>
      </c>
      <c r="Z211" s="28">
        <v>0</v>
      </c>
      <c r="AA211" s="396">
        <v>0</v>
      </c>
      <c r="AB211" s="261" t="s">
        <v>236</v>
      </c>
      <c r="AC211" s="200"/>
    </row>
    <row r="212" spans="1:29" s="20" customFormat="1" x14ac:dyDescent="0.3">
      <c r="A212" s="370">
        <v>45501</v>
      </c>
      <c r="B212" s="37">
        <v>20.45</v>
      </c>
      <c r="C212" s="14">
        <v>30</v>
      </c>
      <c r="D212" s="14">
        <v>18.600000000000001</v>
      </c>
      <c r="E212" s="14">
        <v>32.6</v>
      </c>
      <c r="F212" s="14">
        <v>14.6</v>
      </c>
      <c r="G212" s="58">
        <f t="shared" si="8"/>
        <v>18</v>
      </c>
      <c r="H212" s="58">
        <f t="shared" si="10"/>
        <v>21.912500000000001</v>
      </c>
      <c r="I212" s="60">
        <v>21.675882639396136</v>
      </c>
      <c r="J212" s="165">
        <v>20.636504658702599</v>
      </c>
      <c r="K212" s="14">
        <v>11.0855147384716</v>
      </c>
      <c r="L212" s="50">
        <v>14.794247460041015</v>
      </c>
      <c r="M212" s="90">
        <v>99</v>
      </c>
      <c r="N212" s="30">
        <v>32</v>
      </c>
      <c r="O212" s="87">
        <v>68.1064037009983</v>
      </c>
      <c r="P212" s="377">
        <v>1021.35657283751</v>
      </c>
      <c r="Q212" s="21">
        <v>1014.17053995833</v>
      </c>
      <c r="R212" s="382">
        <v>1017.5216194685618</v>
      </c>
      <c r="S212" s="54">
        <v>10.900000008719999</v>
      </c>
      <c r="T212" s="47">
        <v>4.9866666706559997</v>
      </c>
      <c r="U212" s="25">
        <v>1.8707085478807826</v>
      </c>
      <c r="V212" s="175" t="s">
        <v>209</v>
      </c>
      <c r="W212" s="198" t="s">
        <v>239</v>
      </c>
      <c r="X212" s="26">
        <v>0</v>
      </c>
      <c r="Y212" s="27">
        <v>0</v>
      </c>
      <c r="Z212" s="28">
        <v>0</v>
      </c>
      <c r="AA212" s="396">
        <v>0</v>
      </c>
      <c r="AB212" s="261" t="s">
        <v>258</v>
      </c>
      <c r="AC212" s="200"/>
    </row>
    <row r="213" spans="1:29" s="20" customFormat="1" x14ac:dyDescent="0.3">
      <c r="A213" s="370">
        <v>45502</v>
      </c>
      <c r="B213" s="37">
        <v>16.600000000000001</v>
      </c>
      <c r="C213" s="14">
        <v>27.1</v>
      </c>
      <c r="D213" s="14">
        <v>16.600000000000001</v>
      </c>
      <c r="E213" s="14">
        <v>27.3</v>
      </c>
      <c r="F213" s="14">
        <v>11.4</v>
      </c>
      <c r="G213" s="58">
        <f t="shared" si="8"/>
        <v>15.9</v>
      </c>
      <c r="H213" s="58">
        <f t="shared" si="10"/>
        <v>19.225000000000001</v>
      </c>
      <c r="I213" s="60">
        <v>19.43743645606385</v>
      </c>
      <c r="J213" s="165">
        <v>14.995760464915399</v>
      </c>
      <c r="K213" s="14">
        <v>7.6449667723233201</v>
      </c>
      <c r="L213" s="50">
        <v>10.381939199546853</v>
      </c>
      <c r="M213" s="90">
        <v>93</v>
      </c>
      <c r="N213" s="30">
        <v>32</v>
      </c>
      <c r="O213" s="87">
        <v>59.7821350762527</v>
      </c>
      <c r="P213" s="377">
        <v>1021.65093562142</v>
      </c>
      <c r="Q213" s="21">
        <v>1017.2825986282199</v>
      </c>
      <c r="R213" s="382">
        <v>1019.5417880455288</v>
      </c>
      <c r="S213" s="54">
        <v>8.5000000068000006</v>
      </c>
      <c r="T213" s="47">
        <v>4.9800000039840002</v>
      </c>
      <c r="U213" s="25">
        <v>1.8135923519713226</v>
      </c>
      <c r="V213" s="175" t="s">
        <v>210</v>
      </c>
      <c r="W213" s="198"/>
      <c r="X213" s="26">
        <v>0</v>
      </c>
      <c r="Y213" s="27">
        <v>0</v>
      </c>
      <c r="Z213" s="28">
        <v>0</v>
      </c>
      <c r="AA213" s="396">
        <v>0</v>
      </c>
      <c r="AB213" s="261" t="s">
        <v>297</v>
      </c>
      <c r="AC213" s="200"/>
    </row>
    <row r="214" spans="1:29" s="20" customFormat="1" x14ac:dyDescent="0.3">
      <c r="A214" s="370">
        <v>45503</v>
      </c>
      <c r="B214" s="37">
        <v>15.4</v>
      </c>
      <c r="C214" s="14">
        <v>27.4</v>
      </c>
      <c r="D214" s="14">
        <v>15</v>
      </c>
      <c r="E214" s="14">
        <v>27.6</v>
      </c>
      <c r="F214" s="14">
        <v>9.6999999999999993</v>
      </c>
      <c r="G214" s="58">
        <f t="shared" si="8"/>
        <v>17.900000000000002</v>
      </c>
      <c r="H214" s="58">
        <f>(B214+C214+2*D214)/4</f>
        <v>18.2</v>
      </c>
      <c r="I214" s="60">
        <v>18.8523289665211</v>
      </c>
      <c r="J214" s="165">
        <v>16.0565246596165</v>
      </c>
      <c r="K214" s="14">
        <v>7.7661023487759504</v>
      </c>
      <c r="L214" s="50">
        <v>10.204773990475642</v>
      </c>
      <c r="M214" s="90">
        <v>96</v>
      </c>
      <c r="N214" s="30">
        <v>31</v>
      </c>
      <c r="O214" s="87">
        <v>62.032144590004847</v>
      </c>
      <c r="P214" s="377">
        <v>1020.27402038756</v>
      </c>
      <c r="Q214" s="21">
        <v>1015.8771574272899</v>
      </c>
      <c r="R214" s="382">
        <v>1018.0932067210125</v>
      </c>
      <c r="S214" s="54">
        <v>8.8000000070399995</v>
      </c>
      <c r="T214" s="47">
        <v>3.9833333365200003</v>
      </c>
      <c r="U214" s="25">
        <v>1.5126273665667229</v>
      </c>
      <c r="V214" s="175" t="s">
        <v>209</v>
      </c>
      <c r="W214" s="198"/>
      <c r="X214" s="26">
        <v>0</v>
      </c>
      <c r="Y214" s="27">
        <v>0</v>
      </c>
      <c r="Z214" s="28">
        <v>0</v>
      </c>
      <c r="AA214" s="396">
        <v>0</v>
      </c>
      <c r="AB214" s="261" t="s">
        <v>242</v>
      </c>
      <c r="AC214" s="200"/>
    </row>
    <row r="215" spans="1:29" s="257" customFormat="1" ht="15" thickBot="1" x14ac:dyDescent="0.35">
      <c r="A215" s="370">
        <v>45504</v>
      </c>
      <c r="B215" s="38">
        <v>14.1</v>
      </c>
      <c r="C215" s="22">
        <v>29.5</v>
      </c>
      <c r="D215" s="22">
        <v>18.899999999999999</v>
      </c>
      <c r="E215" s="22">
        <v>30.2</v>
      </c>
      <c r="F215" s="22">
        <v>8.8000000000000007</v>
      </c>
      <c r="G215" s="22">
        <f t="shared" si="8"/>
        <v>21.4</v>
      </c>
      <c r="H215" s="22">
        <f>(B215+C215+2*D215)/4</f>
        <v>20.350000000000001</v>
      </c>
      <c r="I215" s="61">
        <v>20.220041272153459</v>
      </c>
      <c r="J215" s="166">
        <v>14.667342862778799</v>
      </c>
      <c r="K215" s="22">
        <v>6.9524709388078998</v>
      </c>
      <c r="L215" s="256">
        <v>11.235443451220114</v>
      </c>
      <c r="M215" s="364">
        <v>96</v>
      </c>
      <c r="N215" s="155">
        <v>27</v>
      </c>
      <c r="O215" s="156">
        <v>62.142146151978693</v>
      </c>
      <c r="P215" s="381">
        <v>1018.04122829378</v>
      </c>
      <c r="Q215" s="53">
        <v>1012.10298669671</v>
      </c>
      <c r="R215" s="389">
        <v>1014.9163452898515</v>
      </c>
      <c r="S215" s="56">
        <v>6.10000000488</v>
      </c>
      <c r="T215" s="49">
        <v>3.3400000026719994</v>
      </c>
      <c r="U215" s="39">
        <v>1.2506797776453573</v>
      </c>
      <c r="V215" s="176" t="s">
        <v>209</v>
      </c>
      <c r="W215" s="199"/>
      <c r="X215" s="40">
        <v>0</v>
      </c>
      <c r="Y215" s="41">
        <v>0</v>
      </c>
      <c r="Z215" s="42">
        <v>0</v>
      </c>
      <c r="AA215" s="399">
        <v>0</v>
      </c>
      <c r="AB215" s="262" t="s">
        <v>242</v>
      </c>
      <c r="AC215" s="404"/>
    </row>
    <row r="216" spans="1:29" s="33" customFormat="1" x14ac:dyDescent="0.3">
      <c r="A216" s="370">
        <v>45505</v>
      </c>
      <c r="B216" s="57">
        <v>15.9</v>
      </c>
      <c r="C216" s="29">
        <v>26.1</v>
      </c>
      <c r="D216" s="29">
        <v>18.5</v>
      </c>
      <c r="E216" s="29">
        <v>27.4</v>
      </c>
      <c r="F216" s="29">
        <v>13.2</v>
      </c>
      <c r="G216" s="58">
        <f t="shared" ref="G216:G255" si="11">E216-F216</f>
        <v>14.2</v>
      </c>
      <c r="H216" s="58">
        <f>(B216+C216+2*D216)/4</f>
        <v>19.75</v>
      </c>
      <c r="I216" s="65">
        <v>19.400339366515968</v>
      </c>
      <c r="J216" s="366">
        <v>18.272809035853498</v>
      </c>
      <c r="K216" s="29">
        <v>11.4256083575179</v>
      </c>
      <c r="L216" s="58">
        <v>15.219505179269815</v>
      </c>
      <c r="M216" s="90">
        <v>97</v>
      </c>
      <c r="N216" s="30">
        <v>50</v>
      </c>
      <c r="O216" s="87">
        <v>78.733408748114641</v>
      </c>
      <c r="P216" s="376">
        <v>1013.76682141942</v>
      </c>
      <c r="Q216" s="31">
        <v>1009.9048031201301</v>
      </c>
      <c r="R216" s="382">
        <v>1011.8197205275703</v>
      </c>
      <c r="S216" s="89">
        <v>7.1000000056800001</v>
      </c>
      <c r="T216" s="88">
        <v>4.6866666704160007</v>
      </c>
      <c r="U216" s="32">
        <v>0.73212669741826908</v>
      </c>
      <c r="V216" s="174" t="s">
        <v>209</v>
      </c>
      <c r="W216" s="363"/>
      <c r="X216" s="84">
        <v>0</v>
      </c>
      <c r="Y216" s="85">
        <v>0</v>
      </c>
      <c r="Z216" s="86">
        <v>0</v>
      </c>
      <c r="AA216" s="393">
        <v>0</v>
      </c>
      <c r="AB216" s="259" t="s">
        <v>252</v>
      </c>
      <c r="AC216" s="401"/>
    </row>
    <row r="217" spans="1:29" s="20" customFormat="1" x14ac:dyDescent="0.3">
      <c r="A217" s="370">
        <v>45506</v>
      </c>
      <c r="B217" s="37">
        <v>18.6666666666667</v>
      </c>
      <c r="C217" s="14">
        <v>29.8333333333333</v>
      </c>
      <c r="D217" s="14">
        <v>20.3</v>
      </c>
      <c r="E217" s="14">
        <v>31.4</v>
      </c>
      <c r="F217" s="14">
        <v>15.4</v>
      </c>
      <c r="G217" s="58">
        <f t="shared" si="11"/>
        <v>15.999999999999998</v>
      </c>
      <c r="H217" s="58">
        <f t="shared" ref="H217:H244" si="12">(B217+C217+2*D217)/4</f>
        <v>22.274999999999999</v>
      </c>
      <c r="I217" s="60">
        <v>22.123753838884912</v>
      </c>
      <c r="J217" s="366">
        <v>20.232196026662699</v>
      </c>
      <c r="K217" s="29">
        <v>14.438106128191899</v>
      </c>
      <c r="L217" s="58">
        <v>17.30112010323074</v>
      </c>
      <c r="M217" s="90">
        <v>99</v>
      </c>
      <c r="N217" s="30">
        <v>38</v>
      </c>
      <c r="O217" s="87">
        <v>77.913418379399999</v>
      </c>
      <c r="P217" s="377">
        <v>1010.13318433188</v>
      </c>
      <c r="Q217" s="21">
        <v>1003.69728789892</v>
      </c>
      <c r="R217" s="382">
        <v>1006.6630870783017</v>
      </c>
      <c r="S217" s="54">
        <v>4.8000000038400001</v>
      </c>
      <c r="T217" s="47">
        <v>2.3700000018959999</v>
      </c>
      <c r="U217" s="25">
        <v>0.61211906498295621</v>
      </c>
      <c r="V217" s="175" t="s">
        <v>209</v>
      </c>
      <c r="W217" s="196" t="s">
        <v>214</v>
      </c>
      <c r="X217" s="16">
        <v>18</v>
      </c>
      <c r="Y217" s="17">
        <v>9.6</v>
      </c>
      <c r="Z217" s="18">
        <v>0</v>
      </c>
      <c r="AA217" s="394">
        <v>0</v>
      </c>
      <c r="AB217" s="260" t="s">
        <v>252</v>
      </c>
      <c r="AC217" s="200"/>
    </row>
    <row r="218" spans="1:29" s="20" customFormat="1" x14ac:dyDescent="0.3">
      <c r="A218" s="370">
        <v>45507</v>
      </c>
      <c r="B218" s="37">
        <v>19.399999999999999</v>
      </c>
      <c r="C218" s="14">
        <v>18.100000000000001</v>
      </c>
      <c r="D218" s="14">
        <v>15.5</v>
      </c>
      <c r="E218" s="14">
        <v>19.8</v>
      </c>
      <c r="F218" s="14">
        <v>15.5</v>
      </c>
      <c r="G218" s="58">
        <f t="shared" si="11"/>
        <v>4.3000000000000007</v>
      </c>
      <c r="H218" s="58">
        <f t="shared" si="12"/>
        <v>17.125</v>
      </c>
      <c r="I218" s="60">
        <v>17.561718939946466</v>
      </c>
      <c r="J218" s="366">
        <v>19.6377667693279</v>
      </c>
      <c r="K218" s="29">
        <v>13.890199186060601</v>
      </c>
      <c r="L218" s="58">
        <v>16.544994022544468</v>
      </c>
      <c r="M218" s="90">
        <v>99</v>
      </c>
      <c r="N218" s="30">
        <v>79</v>
      </c>
      <c r="O218" s="87">
        <v>93.923413566739612</v>
      </c>
      <c r="P218" s="377">
        <v>1011.3462336827</v>
      </c>
      <c r="Q218" s="21">
        <v>1002.51644200865</v>
      </c>
      <c r="R218" s="382">
        <v>1006.8715790818807</v>
      </c>
      <c r="S218" s="54">
        <v>9.5000000076000006</v>
      </c>
      <c r="T218" s="47">
        <v>4.8533333372160001</v>
      </c>
      <c r="U218" s="25">
        <v>1.0102966212799189</v>
      </c>
      <c r="V218" s="175" t="s">
        <v>210</v>
      </c>
      <c r="W218" s="196" t="s">
        <v>214</v>
      </c>
      <c r="X218" s="16">
        <v>30</v>
      </c>
      <c r="Y218" s="17">
        <v>16</v>
      </c>
      <c r="Z218" s="18">
        <v>0</v>
      </c>
      <c r="AA218" s="394">
        <v>0</v>
      </c>
      <c r="AB218" s="260" t="s">
        <v>407</v>
      </c>
      <c r="AC218" s="200"/>
    </row>
    <row r="219" spans="1:29" s="20" customFormat="1" x14ac:dyDescent="0.3">
      <c r="A219" s="370">
        <v>45508</v>
      </c>
      <c r="B219" s="37">
        <v>16.100000000000001</v>
      </c>
      <c r="C219" s="14">
        <v>27.5</v>
      </c>
      <c r="D219" s="14">
        <v>16.5</v>
      </c>
      <c r="E219" s="14">
        <v>27.6</v>
      </c>
      <c r="F219" s="14">
        <v>12.4</v>
      </c>
      <c r="G219" s="58">
        <f t="shared" si="11"/>
        <v>15.200000000000001</v>
      </c>
      <c r="H219" s="58">
        <f t="shared" si="12"/>
        <v>19.149999999999999</v>
      </c>
      <c r="I219" s="60">
        <v>19.584013605442191</v>
      </c>
      <c r="J219" s="366">
        <v>17.080136946986102</v>
      </c>
      <c r="K219" s="29">
        <v>11.234908726162701</v>
      </c>
      <c r="L219" s="58">
        <v>14.023675349485339</v>
      </c>
      <c r="M219" s="90">
        <v>99</v>
      </c>
      <c r="N219" s="30">
        <v>40</v>
      </c>
      <c r="O219" s="87">
        <v>73.961451247165542</v>
      </c>
      <c r="P219" s="377">
        <v>1012.4820909060001</v>
      </c>
      <c r="Q219" s="21">
        <v>1009.12166128132</v>
      </c>
      <c r="R219" s="382">
        <v>1010.9847805938639</v>
      </c>
      <c r="S219" s="55">
        <v>4.1000000032799999</v>
      </c>
      <c r="T219" s="48">
        <v>2.2066666684319998</v>
      </c>
      <c r="U219" s="19">
        <v>0.7927185695432164</v>
      </c>
      <c r="V219" s="175" t="s">
        <v>209</v>
      </c>
      <c r="W219" s="197" t="s">
        <v>239</v>
      </c>
      <c r="X219" s="16">
        <v>0</v>
      </c>
      <c r="Y219" s="17">
        <v>0</v>
      </c>
      <c r="Z219" s="18">
        <v>0</v>
      </c>
      <c r="AA219" s="394">
        <v>0</v>
      </c>
      <c r="AB219" s="260" t="s">
        <v>406</v>
      </c>
      <c r="AC219" s="200"/>
    </row>
    <row r="220" spans="1:29" s="20" customFormat="1" x14ac:dyDescent="0.3">
      <c r="A220" s="370">
        <v>45509</v>
      </c>
      <c r="B220" s="37">
        <v>18.100000000000001</v>
      </c>
      <c r="C220" s="14">
        <v>21</v>
      </c>
      <c r="D220" s="14">
        <v>13.6</v>
      </c>
      <c r="E220" s="14">
        <v>25.2</v>
      </c>
      <c r="F220" s="14">
        <v>13.5</v>
      </c>
      <c r="G220" s="58">
        <f t="shared" si="11"/>
        <v>11.7</v>
      </c>
      <c r="H220" s="58">
        <f t="shared" si="12"/>
        <v>16.574999999999999</v>
      </c>
      <c r="I220" s="60">
        <v>17.765751051719857</v>
      </c>
      <c r="J220" s="366">
        <v>18.938647338831402</v>
      </c>
      <c r="K220" s="29">
        <v>11.8908200555619</v>
      </c>
      <c r="L220" s="58">
        <v>15.371401359908115</v>
      </c>
      <c r="M220" s="90">
        <v>99</v>
      </c>
      <c r="N220" s="30">
        <v>60</v>
      </c>
      <c r="O220" s="87">
        <v>86.951125958921054</v>
      </c>
      <c r="P220" s="377">
        <v>1012.38786327133</v>
      </c>
      <c r="Q220" s="21">
        <v>1009.2995034663001</v>
      </c>
      <c r="R220" s="382">
        <v>1011.2410425793674</v>
      </c>
      <c r="S220" s="54">
        <v>7.1000000056800001</v>
      </c>
      <c r="T220" s="47">
        <v>3.9400000031519999</v>
      </c>
      <c r="U220" s="25">
        <v>0.66998267809103829</v>
      </c>
      <c r="V220" s="175" t="s">
        <v>209</v>
      </c>
      <c r="W220" s="197" t="s">
        <v>214</v>
      </c>
      <c r="X220" s="16">
        <v>96</v>
      </c>
      <c r="Y220" s="17">
        <v>25.5</v>
      </c>
      <c r="Z220" s="18">
        <v>0</v>
      </c>
      <c r="AA220" s="394">
        <v>0</v>
      </c>
      <c r="AB220" s="260" t="s">
        <v>261</v>
      </c>
      <c r="AC220" s="200"/>
    </row>
    <row r="221" spans="1:29" s="20" customFormat="1" x14ac:dyDescent="0.3">
      <c r="A221" s="370">
        <v>45510</v>
      </c>
      <c r="B221" s="37">
        <v>15.1</v>
      </c>
      <c r="C221" s="14">
        <v>19.399999999999999</v>
      </c>
      <c r="D221" s="14">
        <v>15.7</v>
      </c>
      <c r="E221" s="14">
        <v>23.4</v>
      </c>
      <c r="F221" s="14">
        <v>13.3</v>
      </c>
      <c r="G221" s="58">
        <f t="shared" si="11"/>
        <v>10.099999999999998</v>
      </c>
      <c r="H221" s="58">
        <f t="shared" si="12"/>
        <v>16.475000000000001</v>
      </c>
      <c r="I221" s="60">
        <v>16.977380952380987</v>
      </c>
      <c r="J221" s="366">
        <v>19.624072050603999</v>
      </c>
      <c r="K221" s="29">
        <v>12.0425151000107</v>
      </c>
      <c r="L221" s="58">
        <v>14.977389725915392</v>
      </c>
      <c r="M221" s="90">
        <v>99</v>
      </c>
      <c r="N221" s="30">
        <v>65</v>
      </c>
      <c r="O221" s="87">
        <v>88.775223950966534</v>
      </c>
      <c r="P221" s="377">
        <v>1015.05639400285</v>
      </c>
      <c r="Q221" s="21">
        <v>1011.67969430506</v>
      </c>
      <c r="R221" s="382">
        <v>1013.184979599372</v>
      </c>
      <c r="S221" s="54">
        <v>4.1000000032799999</v>
      </c>
      <c r="T221" s="47">
        <v>2.7166666688399999</v>
      </c>
      <c r="U221" s="25">
        <v>0.63702263134412418</v>
      </c>
      <c r="V221" s="175" t="s">
        <v>209</v>
      </c>
      <c r="W221" s="197" t="s">
        <v>214</v>
      </c>
      <c r="X221" s="16">
        <v>20</v>
      </c>
      <c r="Y221" s="17">
        <v>2.5</v>
      </c>
      <c r="Z221" s="18">
        <v>0</v>
      </c>
      <c r="AA221" s="394">
        <v>0</v>
      </c>
      <c r="AB221" s="260" t="s">
        <v>258</v>
      </c>
      <c r="AC221" s="200"/>
    </row>
    <row r="222" spans="1:29" s="20" customFormat="1" x14ac:dyDescent="0.3">
      <c r="A222" s="370">
        <v>45511</v>
      </c>
      <c r="B222" s="37">
        <v>13.5</v>
      </c>
      <c r="C222" s="14">
        <v>27.4</v>
      </c>
      <c r="D222" s="14">
        <v>19.2</v>
      </c>
      <c r="E222" s="14">
        <v>27.8</v>
      </c>
      <c r="F222" s="14">
        <v>11.5</v>
      </c>
      <c r="G222" s="58">
        <f t="shared" si="11"/>
        <v>16.3</v>
      </c>
      <c r="H222" s="58">
        <f t="shared" si="12"/>
        <v>19.824999999999999</v>
      </c>
      <c r="I222" s="60">
        <v>19.64780575539568</v>
      </c>
      <c r="J222" s="366">
        <v>17.25473904443</v>
      </c>
      <c r="K222" s="29">
        <v>10.567466640149</v>
      </c>
      <c r="L222" s="58">
        <v>14.367881479803684</v>
      </c>
      <c r="M222" s="90">
        <v>99</v>
      </c>
      <c r="N222" s="30">
        <v>42</v>
      </c>
      <c r="O222" s="87">
        <v>74.544364508393329</v>
      </c>
      <c r="P222" s="377">
        <v>1015.52272826945</v>
      </c>
      <c r="Q222" s="21">
        <v>1011.53033105381</v>
      </c>
      <c r="R222" s="382">
        <v>1013.5730881797259</v>
      </c>
      <c r="S222" s="54">
        <v>5.8000000046400002</v>
      </c>
      <c r="T222" s="47">
        <v>3.2533333359359999</v>
      </c>
      <c r="U222" s="25">
        <v>0.95565947318659172</v>
      </c>
      <c r="V222" s="175" t="s">
        <v>209</v>
      </c>
      <c r="W222" s="197"/>
      <c r="X222" s="16">
        <v>0</v>
      </c>
      <c r="Y222" s="17">
        <v>0</v>
      </c>
      <c r="Z222" s="18">
        <v>0</v>
      </c>
      <c r="AA222" s="394">
        <v>0</v>
      </c>
      <c r="AB222" s="260" t="s">
        <v>257</v>
      </c>
      <c r="AC222" s="200"/>
    </row>
    <row r="223" spans="1:29" s="20" customFormat="1" x14ac:dyDescent="0.3">
      <c r="A223" s="370">
        <v>45512</v>
      </c>
      <c r="B223" s="37">
        <v>16.5</v>
      </c>
      <c r="C223" s="14">
        <v>27.4</v>
      </c>
      <c r="D223" s="14">
        <v>21.3</v>
      </c>
      <c r="E223" s="14">
        <v>28.2</v>
      </c>
      <c r="F223" s="14">
        <v>14.3</v>
      </c>
      <c r="G223" s="58">
        <f t="shared" si="11"/>
        <v>13.899999999999999</v>
      </c>
      <c r="H223" s="58">
        <f t="shared" si="12"/>
        <v>21.625</v>
      </c>
      <c r="I223" s="60">
        <v>21.38001262626268</v>
      </c>
      <c r="J223" s="366">
        <v>21.639244324077399</v>
      </c>
      <c r="K223" s="29">
        <v>12.849447856070601</v>
      </c>
      <c r="L223" s="58">
        <v>17.60088174018605</v>
      </c>
      <c r="M223" s="90">
        <v>99</v>
      </c>
      <c r="N223" s="30">
        <v>52</v>
      </c>
      <c r="O223" s="87">
        <v>80.65303030303032</v>
      </c>
      <c r="P223" s="377">
        <v>1014.1389197825901</v>
      </c>
      <c r="Q223" s="21">
        <v>1011.2213058873</v>
      </c>
      <c r="R223" s="382">
        <v>1012.8413087955518</v>
      </c>
      <c r="S223" s="54">
        <v>5.8000000046400002</v>
      </c>
      <c r="T223" s="47">
        <v>3.1266666691680003</v>
      </c>
      <c r="U223" s="25">
        <v>0.82984848551236212</v>
      </c>
      <c r="V223" s="175" t="s">
        <v>209</v>
      </c>
      <c r="W223" s="197" t="s">
        <v>214</v>
      </c>
      <c r="X223" s="16">
        <v>30</v>
      </c>
      <c r="Y223" s="17">
        <v>1.6</v>
      </c>
      <c r="Z223" s="18">
        <v>0</v>
      </c>
      <c r="AA223" s="394">
        <v>0</v>
      </c>
      <c r="AB223" s="260" t="s">
        <v>301</v>
      </c>
      <c r="AC223" s="200"/>
    </row>
    <row r="224" spans="1:29" s="20" customFormat="1" x14ac:dyDescent="0.3">
      <c r="A224" s="370">
        <v>45513</v>
      </c>
      <c r="B224" s="37">
        <v>18.7</v>
      </c>
      <c r="C224" s="14">
        <v>26.033333333333299</v>
      </c>
      <c r="D224" s="14">
        <v>17.5</v>
      </c>
      <c r="E224" s="14">
        <v>27.3</v>
      </c>
      <c r="F224" s="14">
        <v>15.1</v>
      </c>
      <c r="G224" s="58">
        <f t="shared" si="11"/>
        <v>12.200000000000001</v>
      </c>
      <c r="H224" s="58">
        <f t="shared" si="12"/>
        <v>19.933333333333323</v>
      </c>
      <c r="I224" s="60">
        <v>20.667335314512066</v>
      </c>
      <c r="J224" s="366">
        <v>20.336883805053301</v>
      </c>
      <c r="K224" s="29">
        <v>13.298729063519501</v>
      </c>
      <c r="L224" s="58">
        <v>16.884565118071556</v>
      </c>
      <c r="M224" s="90">
        <v>99</v>
      </c>
      <c r="N224" s="30">
        <v>60</v>
      </c>
      <c r="O224" s="87">
        <v>80.401807825656277</v>
      </c>
      <c r="P224" s="377">
        <v>1017.61140752534</v>
      </c>
      <c r="Q224" s="21">
        <v>1013.18577333064</v>
      </c>
      <c r="R224" s="382">
        <v>1014.9385207556396</v>
      </c>
      <c r="S224" s="54">
        <v>7.1000000056800001</v>
      </c>
      <c r="T224" s="47">
        <v>4.013333336544</v>
      </c>
      <c r="U224" s="25">
        <v>1.2228578513992903</v>
      </c>
      <c r="V224" s="175" t="s">
        <v>209</v>
      </c>
      <c r="W224" s="197"/>
      <c r="X224" s="16">
        <v>0</v>
      </c>
      <c r="Y224" s="17">
        <v>0</v>
      </c>
      <c r="Z224" s="18">
        <v>0</v>
      </c>
      <c r="AA224" s="394">
        <v>0</v>
      </c>
      <c r="AB224" s="260" t="s">
        <v>258</v>
      </c>
      <c r="AC224" s="200"/>
    </row>
    <row r="225" spans="1:29" s="20" customFormat="1" x14ac:dyDescent="0.3">
      <c r="A225" s="370">
        <v>45514</v>
      </c>
      <c r="B225" s="37">
        <v>16.8</v>
      </c>
      <c r="C225" s="14">
        <v>29.3</v>
      </c>
      <c r="D225" s="14">
        <v>21.6</v>
      </c>
      <c r="E225" s="14">
        <v>29.466666666666701</v>
      </c>
      <c r="F225" s="14">
        <v>13.6</v>
      </c>
      <c r="G225" s="58">
        <f t="shared" si="11"/>
        <v>15.866666666666701</v>
      </c>
      <c r="H225" s="58">
        <f t="shared" si="12"/>
        <v>22.325000000000003</v>
      </c>
      <c r="I225" s="60">
        <v>21.785672290388543</v>
      </c>
      <c r="J225" s="366">
        <v>19.806741963952199</v>
      </c>
      <c r="K225" s="29">
        <v>12.323788739256701</v>
      </c>
      <c r="L225" s="58">
        <v>16.471572281790827</v>
      </c>
      <c r="M225" s="90">
        <v>99</v>
      </c>
      <c r="N225" s="30">
        <v>44</v>
      </c>
      <c r="O225" s="87">
        <v>74.557004089979543</v>
      </c>
      <c r="P225" s="377">
        <v>1019.57470487008</v>
      </c>
      <c r="Q225" s="21">
        <v>1016.95344888111</v>
      </c>
      <c r="R225" s="382">
        <v>1018.0737936181147</v>
      </c>
      <c r="S225" s="54">
        <v>4.8000000038400001</v>
      </c>
      <c r="T225" s="47">
        <v>2.7266666688480004</v>
      </c>
      <c r="U225" s="25">
        <v>0.75385991880349257</v>
      </c>
      <c r="V225" s="175" t="s">
        <v>209</v>
      </c>
      <c r="W225" s="197"/>
      <c r="X225" s="16">
        <v>0</v>
      </c>
      <c r="Y225" s="17">
        <v>0</v>
      </c>
      <c r="Z225" s="18">
        <v>0</v>
      </c>
      <c r="AA225" s="394">
        <v>0</v>
      </c>
      <c r="AB225" s="260" t="s">
        <v>285</v>
      </c>
      <c r="AC225" s="200"/>
    </row>
    <row r="226" spans="1:29" s="20" customFormat="1" x14ac:dyDescent="0.3">
      <c r="A226" s="370">
        <v>45515</v>
      </c>
      <c r="B226" s="37">
        <v>19.2</v>
      </c>
      <c r="C226" s="14">
        <v>30.2</v>
      </c>
      <c r="D226" s="14">
        <v>21.5</v>
      </c>
      <c r="E226" s="14">
        <v>30.9</v>
      </c>
      <c r="F226" s="14">
        <v>16.3</v>
      </c>
      <c r="G226" s="58">
        <f t="shared" si="11"/>
        <v>14.599999999999998</v>
      </c>
      <c r="H226" s="58">
        <f t="shared" si="12"/>
        <v>23.1</v>
      </c>
      <c r="I226" s="60">
        <v>23.231306804225028</v>
      </c>
      <c r="J226" s="366">
        <v>20.720059359585701</v>
      </c>
      <c r="K226" s="29">
        <v>14.3973881156794</v>
      </c>
      <c r="L226" s="58">
        <v>17.354429218709981</v>
      </c>
      <c r="M226" s="90">
        <v>99</v>
      </c>
      <c r="N226" s="30">
        <v>40</v>
      </c>
      <c r="O226" s="87">
        <v>72.295013510194039</v>
      </c>
      <c r="P226" s="377">
        <v>1020.40974004307</v>
      </c>
      <c r="Q226" s="21">
        <v>1015.99610428392</v>
      </c>
      <c r="R226" s="382">
        <v>1018.3359110430445</v>
      </c>
      <c r="S226" s="54">
        <v>5.10000000408</v>
      </c>
      <c r="T226" s="47">
        <v>2.8933333356480002</v>
      </c>
      <c r="U226" s="25">
        <v>0.68014001528249679</v>
      </c>
      <c r="V226" s="175" t="s">
        <v>209</v>
      </c>
      <c r="W226" s="197"/>
      <c r="X226" s="16">
        <v>0</v>
      </c>
      <c r="Y226" s="17">
        <v>0</v>
      </c>
      <c r="Z226" s="18">
        <v>0</v>
      </c>
      <c r="AA226" s="394">
        <v>0</v>
      </c>
      <c r="AB226" s="260" t="s">
        <v>408</v>
      </c>
      <c r="AC226" s="200"/>
    </row>
    <row r="227" spans="1:29" s="20" customFormat="1" x14ac:dyDescent="0.3">
      <c r="A227" s="370">
        <v>45516</v>
      </c>
      <c r="B227" s="37">
        <v>17.899999999999999</v>
      </c>
      <c r="C227" s="14">
        <v>28</v>
      </c>
      <c r="D227" s="14">
        <v>18.75</v>
      </c>
      <c r="E227" s="14">
        <v>28.6</v>
      </c>
      <c r="F227" s="14">
        <v>13.4</v>
      </c>
      <c r="G227" s="58">
        <f t="shared" si="11"/>
        <v>15.200000000000001</v>
      </c>
      <c r="H227" s="58">
        <f t="shared" si="12"/>
        <v>20.85</v>
      </c>
      <c r="I227" s="60">
        <v>21.27757246376806</v>
      </c>
      <c r="J227" s="366">
        <v>17.245757350332202</v>
      </c>
      <c r="K227" s="29">
        <v>11.5502543093701</v>
      </c>
      <c r="L227" s="58">
        <v>13.990170712707826</v>
      </c>
      <c r="M227" s="90">
        <v>96</v>
      </c>
      <c r="N227" s="30">
        <v>36.3333333333333</v>
      </c>
      <c r="O227" s="87">
        <v>66.830314009661848</v>
      </c>
      <c r="P227" s="377">
        <v>1019.04149498707</v>
      </c>
      <c r="Q227" s="21">
        <v>1012.12874268822</v>
      </c>
      <c r="R227" s="382">
        <v>1015.5794978490218</v>
      </c>
      <c r="S227" s="54">
        <v>5.10000000408</v>
      </c>
      <c r="T227" s="47">
        <v>2.7600000022079998</v>
      </c>
      <c r="U227" s="25">
        <v>0.91509661908956652</v>
      </c>
      <c r="V227" s="175" t="s">
        <v>209</v>
      </c>
      <c r="W227" s="197"/>
      <c r="X227" s="16">
        <v>0</v>
      </c>
      <c r="Y227" s="17">
        <v>0</v>
      </c>
      <c r="Z227" s="18">
        <v>0</v>
      </c>
      <c r="AA227" s="394">
        <v>0</v>
      </c>
      <c r="AB227" s="260" t="s">
        <v>242</v>
      </c>
      <c r="AC227" s="200"/>
    </row>
    <row r="228" spans="1:29" s="20" customFormat="1" x14ac:dyDescent="0.3">
      <c r="A228" s="370">
        <v>45517</v>
      </c>
      <c r="B228" s="37">
        <v>18.399999999999999</v>
      </c>
      <c r="C228" s="14">
        <v>30.3</v>
      </c>
      <c r="D228" s="14">
        <v>19</v>
      </c>
      <c r="E228" s="14">
        <v>30.6</v>
      </c>
      <c r="F228" s="14">
        <v>13.5</v>
      </c>
      <c r="G228" s="58">
        <f t="shared" si="11"/>
        <v>17.100000000000001</v>
      </c>
      <c r="H228" s="58">
        <f t="shared" si="12"/>
        <v>21.675000000000001</v>
      </c>
      <c r="I228" s="60">
        <v>21.729845522568173</v>
      </c>
      <c r="J228" s="366">
        <v>18.534036084342599</v>
      </c>
      <c r="K228" s="29">
        <v>11.1693814707029</v>
      </c>
      <c r="L228" s="58">
        <v>13.690030838861068</v>
      </c>
      <c r="M228" s="90">
        <v>97</v>
      </c>
      <c r="N228" s="30">
        <v>33</v>
      </c>
      <c r="O228" s="87">
        <v>64.476707699734519</v>
      </c>
      <c r="P228" s="377">
        <v>1015.65409139292</v>
      </c>
      <c r="Q228" s="21">
        <v>1011.94992376466</v>
      </c>
      <c r="R228" s="382">
        <v>1013.7176075744488</v>
      </c>
      <c r="S228" s="54">
        <v>5.4000000043199998</v>
      </c>
      <c r="T228" s="47">
        <v>3.3233333359919994</v>
      </c>
      <c r="U228" s="25">
        <v>0.99466570197845272</v>
      </c>
      <c r="V228" s="175" t="s">
        <v>209</v>
      </c>
      <c r="W228" s="198"/>
      <c r="X228" s="26">
        <v>0</v>
      </c>
      <c r="Y228" s="27">
        <v>0</v>
      </c>
      <c r="Z228" s="28">
        <v>0</v>
      </c>
      <c r="AA228" s="396">
        <v>0</v>
      </c>
      <c r="AB228" s="261" t="s">
        <v>255</v>
      </c>
      <c r="AC228" s="200"/>
    </row>
    <row r="229" spans="1:29" s="20" customFormat="1" x14ac:dyDescent="0.3">
      <c r="A229" s="370">
        <v>45518</v>
      </c>
      <c r="B229" s="37">
        <v>15.7</v>
      </c>
      <c r="C229" s="14">
        <v>31.3</v>
      </c>
      <c r="D229" s="14">
        <v>20.5</v>
      </c>
      <c r="E229" s="14">
        <v>31.8</v>
      </c>
      <c r="F229" s="14">
        <v>10.8</v>
      </c>
      <c r="G229" s="58">
        <f t="shared" si="11"/>
        <v>21</v>
      </c>
      <c r="H229" s="58">
        <f t="shared" si="12"/>
        <v>22</v>
      </c>
      <c r="I229" s="60">
        <v>21.83580738595218</v>
      </c>
      <c r="J229" s="366">
        <v>17.434331026549302</v>
      </c>
      <c r="K229" s="29">
        <v>8.8917831863190901</v>
      </c>
      <c r="L229" s="58">
        <v>13.537205977008192</v>
      </c>
      <c r="M229" s="90">
        <v>94</v>
      </c>
      <c r="N229" s="30">
        <v>30</v>
      </c>
      <c r="O229" s="87">
        <v>64.346608737629737</v>
      </c>
      <c r="P229" s="377">
        <v>1016.11323212362</v>
      </c>
      <c r="Q229" s="21">
        <v>1012.5117536510199</v>
      </c>
      <c r="R229" s="382">
        <v>1014.4019534193668</v>
      </c>
      <c r="S229" s="54">
        <v>3.70000000296</v>
      </c>
      <c r="T229" s="47">
        <v>2.7100000021679995</v>
      </c>
      <c r="U229" s="25">
        <v>0.80015689178181093</v>
      </c>
      <c r="V229" s="175" t="s">
        <v>209</v>
      </c>
      <c r="W229" s="198"/>
      <c r="X229" s="26">
        <v>0</v>
      </c>
      <c r="Y229" s="27">
        <v>0</v>
      </c>
      <c r="Z229" s="28">
        <v>0</v>
      </c>
      <c r="AA229" s="396">
        <v>0</v>
      </c>
      <c r="AB229" s="261" t="s">
        <v>242</v>
      </c>
      <c r="AC229" s="200"/>
    </row>
    <row r="230" spans="1:29" s="20" customFormat="1" x14ac:dyDescent="0.3">
      <c r="A230" s="370">
        <v>45519</v>
      </c>
      <c r="B230" s="37">
        <v>18.2</v>
      </c>
      <c r="C230" s="14">
        <v>24.566666666666698</v>
      </c>
      <c r="D230" s="14">
        <v>20.9</v>
      </c>
      <c r="E230" s="14">
        <v>31.2</v>
      </c>
      <c r="F230" s="14">
        <v>14.6</v>
      </c>
      <c r="G230" s="58">
        <f t="shared" si="11"/>
        <v>16.600000000000001</v>
      </c>
      <c r="H230" s="58">
        <f t="shared" si="12"/>
        <v>21.141666666666673</v>
      </c>
      <c r="I230" s="60">
        <v>21.313260869565219</v>
      </c>
      <c r="J230" s="366">
        <v>21.301303417771202</v>
      </c>
      <c r="K230" s="29">
        <v>13.075458716598501</v>
      </c>
      <c r="L230" s="58">
        <v>17.787074132709499</v>
      </c>
      <c r="M230" s="90">
        <v>97</v>
      </c>
      <c r="N230" s="30">
        <v>50</v>
      </c>
      <c r="O230" s="87">
        <v>82.058333333333351</v>
      </c>
      <c r="P230" s="377">
        <v>1016.75124993646</v>
      </c>
      <c r="Q230" s="21">
        <v>1013.98659860702</v>
      </c>
      <c r="R230" s="382">
        <v>1015.3352850662311</v>
      </c>
      <c r="S230" s="54">
        <v>7.5000000059999996</v>
      </c>
      <c r="T230" s="47">
        <v>3.7566666696719997</v>
      </c>
      <c r="U230" s="25">
        <v>0.59264492801034008</v>
      </c>
      <c r="V230" s="175" t="s">
        <v>209</v>
      </c>
      <c r="W230" s="198" t="s">
        <v>214</v>
      </c>
      <c r="X230" s="26">
        <v>120</v>
      </c>
      <c r="Y230" s="27">
        <v>12</v>
      </c>
      <c r="Z230" s="28">
        <v>0</v>
      </c>
      <c r="AA230" s="396">
        <v>0</v>
      </c>
      <c r="AB230" s="261" t="s">
        <v>274</v>
      </c>
      <c r="AC230" s="200"/>
    </row>
    <row r="231" spans="1:29" s="20" customFormat="1" x14ac:dyDescent="0.3">
      <c r="A231" s="370">
        <v>45520</v>
      </c>
      <c r="B231" s="37">
        <v>19.6666666666667</v>
      </c>
      <c r="C231" s="14">
        <v>32.5</v>
      </c>
      <c r="D231" s="14">
        <v>21.233333333333299</v>
      </c>
      <c r="E231" s="14">
        <v>32.9</v>
      </c>
      <c r="F231" s="14">
        <v>18.8</v>
      </c>
      <c r="G231" s="58">
        <f t="shared" si="11"/>
        <v>14.099999999999998</v>
      </c>
      <c r="H231" s="58">
        <f t="shared" si="12"/>
        <v>23.658333333333324</v>
      </c>
      <c r="I231" s="60">
        <v>24.505521155830753</v>
      </c>
      <c r="J231" s="366">
        <v>23.336173041951302</v>
      </c>
      <c r="K231" s="29">
        <v>17.221123139162199</v>
      </c>
      <c r="L231" s="58">
        <v>19.934035887247759</v>
      </c>
      <c r="M231" s="90">
        <v>99</v>
      </c>
      <c r="N231" s="30">
        <v>45</v>
      </c>
      <c r="O231" s="87">
        <v>78.658152734778099</v>
      </c>
      <c r="P231" s="377">
        <v>1016.37322911764</v>
      </c>
      <c r="Q231" s="21">
        <v>1012.62347193188</v>
      </c>
      <c r="R231" s="382">
        <v>1014.7722933288321</v>
      </c>
      <c r="S231" s="54">
        <v>4.8000000038400001</v>
      </c>
      <c r="T231" s="47">
        <v>2.4733333353119997</v>
      </c>
      <c r="U231" s="25">
        <v>0.75056759605968493</v>
      </c>
      <c r="V231" s="175" t="s">
        <v>209</v>
      </c>
      <c r="W231" s="198"/>
      <c r="X231" s="26">
        <v>0</v>
      </c>
      <c r="Y231" s="27">
        <v>0</v>
      </c>
      <c r="Z231" s="28">
        <v>0</v>
      </c>
      <c r="AA231" s="396">
        <v>0</v>
      </c>
      <c r="AB231" s="261" t="s">
        <v>265</v>
      </c>
      <c r="AC231" s="200"/>
    </row>
    <row r="232" spans="1:29" s="20" customFormat="1" x14ac:dyDescent="0.3">
      <c r="A232" s="370">
        <v>45521</v>
      </c>
      <c r="B232" s="37">
        <v>19.600000000000001</v>
      </c>
      <c r="C232" s="14">
        <v>27.4</v>
      </c>
      <c r="D232" s="14">
        <v>21.2</v>
      </c>
      <c r="E232" s="14">
        <v>32.700000000000003</v>
      </c>
      <c r="F232" s="14">
        <v>16.8</v>
      </c>
      <c r="G232" s="58">
        <f t="shared" si="11"/>
        <v>15.900000000000002</v>
      </c>
      <c r="H232" s="58">
        <f t="shared" si="12"/>
        <v>22.35</v>
      </c>
      <c r="I232" s="60">
        <v>23.6077182077182</v>
      </c>
      <c r="J232" s="366">
        <v>23.423213800442198</v>
      </c>
      <c r="K232" s="29">
        <v>15.9266929155468</v>
      </c>
      <c r="L232" s="58">
        <v>18.967205962499381</v>
      </c>
      <c r="M232" s="90">
        <v>98</v>
      </c>
      <c r="N232" s="30">
        <v>41.6666666666667</v>
      </c>
      <c r="O232" s="87">
        <v>77.358844858844833</v>
      </c>
      <c r="P232" s="377">
        <v>1014.76732012601</v>
      </c>
      <c r="Q232" s="21">
        <v>1010.05414198591</v>
      </c>
      <c r="R232" s="382">
        <v>1012.3939645475384</v>
      </c>
      <c r="S232" s="54">
        <v>7.5000000059999996</v>
      </c>
      <c r="T232" s="47">
        <v>3.8466666697440006</v>
      </c>
      <c r="U232" s="25">
        <v>0.78069153131607816</v>
      </c>
      <c r="V232" s="175" t="s">
        <v>209</v>
      </c>
      <c r="W232" s="198"/>
      <c r="X232" s="26">
        <v>0</v>
      </c>
      <c r="Y232" s="27">
        <v>0</v>
      </c>
      <c r="Z232" s="28">
        <v>0</v>
      </c>
      <c r="AA232" s="396">
        <v>0</v>
      </c>
      <c r="AB232" s="261" t="s">
        <v>416</v>
      </c>
      <c r="AC232" s="200"/>
    </row>
    <row r="233" spans="1:29" s="20" customFormat="1" x14ac:dyDescent="0.3">
      <c r="A233" s="370">
        <v>45522</v>
      </c>
      <c r="B233" s="37">
        <v>21</v>
      </c>
      <c r="C233" s="14">
        <v>29.6</v>
      </c>
      <c r="D233" s="14">
        <v>20.5</v>
      </c>
      <c r="E233" s="14">
        <v>30.2</v>
      </c>
      <c r="F233" s="14">
        <v>17.899999999999999</v>
      </c>
      <c r="G233" s="58">
        <f t="shared" si="11"/>
        <v>12.3</v>
      </c>
      <c r="H233" s="58">
        <f t="shared" si="12"/>
        <v>22.9</v>
      </c>
      <c r="I233" s="60">
        <v>23.168636599274258</v>
      </c>
      <c r="J233" s="366">
        <v>21.834983674782599</v>
      </c>
      <c r="K233" s="29">
        <v>15.899304693170601</v>
      </c>
      <c r="L233" s="58">
        <v>18.701027343320511</v>
      </c>
      <c r="M233" s="90">
        <v>99</v>
      </c>
      <c r="N233" s="30">
        <v>50</v>
      </c>
      <c r="O233" s="87">
        <v>78.48587350959049</v>
      </c>
      <c r="P233" s="377">
        <v>1010.974963054</v>
      </c>
      <c r="Q233" s="21">
        <v>1005.86593029345</v>
      </c>
      <c r="R233" s="382">
        <v>1008.5691602935545</v>
      </c>
      <c r="S233" s="54">
        <v>7.8000000062400003</v>
      </c>
      <c r="T233" s="47">
        <v>4.2033333366959997</v>
      </c>
      <c r="U233" s="25">
        <v>1.1861197521153068</v>
      </c>
      <c r="V233" s="175" t="s">
        <v>209</v>
      </c>
      <c r="W233" s="198" t="s">
        <v>239</v>
      </c>
      <c r="X233" s="26">
        <v>0</v>
      </c>
      <c r="Y233" s="27">
        <v>0</v>
      </c>
      <c r="Z233" s="28">
        <v>0</v>
      </c>
      <c r="AA233" s="396">
        <v>0</v>
      </c>
      <c r="AB233" s="261" t="s">
        <v>285</v>
      </c>
      <c r="AC233" s="200"/>
    </row>
    <row r="234" spans="1:29" s="20" customFormat="1" x14ac:dyDescent="0.3">
      <c r="A234" s="370">
        <v>45523</v>
      </c>
      <c r="B234" s="37">
        <v>18.7</v>
      </c>
      <c r="C234" s="14">
        <v>32.9</v>
      </c>
      <c r="D234" s="14">
        <v>19.3</v>
      </c>
      <c r="E234" s="14">
        <v>33.299999999999997</v>
      </c>
      <c r="F234" s="14">
        <v>16.600000000000001</v>
      </c>
      <c r="G234" s="58">
        <f t="shared" si="11"/>
        <v>16.699999999999996</v>
      </c>
      <c r="H234" s="58">
        <f t="shared" si="12"/>
        <v>22.549999999999997</v>
      </c>
      <c r="I234" s="60">
        <v>23.313605442176783</v>
      </c>
      <c r="J234" s="366">
        <v>23.0553359689257</v>
      </c>
      <c r="K234" s="29">
        <v>15.4618894777216</v>
      </c>
      <c r="L234" s="58">
        <v>18.350955636520052</v>
      </c>
      <c r="M234" s="90">
        <v>99</v>
      </c>
      <c r="N234" s="30">
        <v>42</v>
      </c>
      <c r="O234" s="87">
        <v>76.87011841773753</v>
      </c>
      <c r="P234" s="377">
        <v>1014.32682854772</v>
      </c>
      <c r="Q234" s="21">
        <v>1007.99250194795</v>
      </c>
      <c r="R234" s="382">
        <v>1010.1931610568819</v>
      </c>
      <c r="S234" s="54">
        <v>10.20000000816</v>
      </c>
      <c r="T234" s="47">
        <v>5.2533333375360005</v>
      </c>
      <c r="U234" s="25">
        <v>1.0115646266595935</v>
      </c>
      <c r="V234" s="175" t="s">
        <v>209</v>
      </c>
      <c r="W234" s="198" t="s">
        <v>214</v>
      </c>
      <c r="X234" s="26">
        <v>12</v>
      </c>
      <c r="Y234" s="27">
        <v>1.8</v>
      </c>
      <c r="Z234" s="28">
        <v>0</v>
      </c>
      <c r="AA234" s="396">
        <v>0</v>
      </c>
      <c r="AB234" s="261" t="s">
        <v>417</v>
      </c>
      <c r="AC234" s="200"/>
    </row>
    <row r="235" spans="1:29" s="20" customFormat="1" x14ac:dyDescent="0.3">
      <c r="A235" s="370">
        <v>45524</v>
      </c>
      <c r="B235" s="37">
        <v>19.600000000000001</v>
      </c>
      <c r="C235" s="14">
        <v>25.8</v>
      </c>
      <c r="D235" s="14">
        <v>19.399999999999999</v>
      </c>
      <c r="E235" s="14">
        <v>27.1</v>
      </c>
      <c r="F235" s="14">
        <v>17.5</v>
      </c>
      <c r="G235" s="58">
        <f t="shared" si="11"/>
        <v>9.6000000000000014</v>
      </c>
      <c r="H235" s="58">
        <f t="shared" si="12"/>
        <v>21.05</v>
      </c>
      <c r="I235" s="60">
        <v>21.429094988780857</v>
      </c>
      <c r="J235" s="366">
        <v>21.135871770668199</v>
      </c>
      <c r="K235" s="29">
        <v>15.664489531691</v>
      </c>
      <c r="L235" s="58">
        <v>18.283340125153199</v>
      </c>
      <c r="M235" s="90">
        <v>99</v>
      </c>
      <c r="N235" s="30">
        <v>65</v>
      </c>
      <c r="O235" s="87">
        <v>83.177137870855148</v>
      </c>
      <c r="P235" s="377">
        <v>1014.42114727214</v>
      </c>
      <c r="Q235" s="21">
        <v>1011.17145726046</v>
      </c>
      <c r="R235" s="382">
        <v>1013.081062679819</v>
      </c>
      <c r="S235" s="54">
        <v>6.5000000052000004</v>
      </c>
      <c r="T235" s="47">
        <v>4.0466666699039999</v>
      </c>
      <c r="U235" s="25">
        <v>1.5055721777190492</v>
      </c>
      <c r="V235" s="175" t="s">
        <v>210</v>
      </c>
      <c r="W235" s="198"/>
      <c r="X235" s="26">
        <v>0</v>
      </c>
      <c r="Y235" s="27">
        <v>0</v>
      </c>
      <c r="Z235" s="28">
        <v>0</v>
      </c>
      <c r="AA235" s="396">
        <v>0</v>
      </c>
      <c r="AB235" s="261" t="s">
        <v>278</v>
      </c>
      <c r="AC235" s="200"/>
    </row>
    <row r="236" spans="1:29" s="20" customFormat="1" x14ac:dyDescent="0.3">
      <c r="A236" s="370">
        <v>45525</v>
      </c>
      <c r="B236" s="37">
        <v>18.899999999999999</v>
      </c>
      <c r="C236" s="14">
        <v>33.200000000000003</v>
      </c>
      <c r="D236" s="14">
        <v>18.399999999999999</v>
      </c>
      <c r="E236" s="14">
        <v>33.9</v>
      </c>
      <c r="F236" s="14">
        <v>15.4</v>
      </c>
      <c r="G236" s="58">
        <f t="shared" si="11"/>
        <v>18.5</v>
      </c>
      <c r="H236" s="58">
        <f t="shared" si="12"/>
        <v>22.225000000000001</v>
      </c>
      <c r="I236" s="60">
        <v>21.480144032921817</v>
      </c>
      <c r="J236" s="366">
        <v>21.5103596937433</v>
      </c>
      <c r="K236" s="29">
        <v>14.105487978020101</v>
      </c>
      <c r="L236" s="58">
        <v>17.355601580841167</v>
      </c>
      <c r="M236" s="90">
        <v>95</v>
      </c>
      <c r="N236" s="30">
        <v>34</v>
      </c>
      <c r="O236" s="87">
        <v>80.123713991769549</v>
      </c>
      <c r="P236" s="377">
        <v>1014.31165413639</v>
      </c>
      <c r="Q236" s="21">
        <v>1005.8896522723199</v>
      </c>
      <c r="R236" s="382">
        <v>1010.3109531859469</v>
      </c>
      <c r="S236" s="54">
        <v>8.8000000070399995</v>
      </c>
      <c r="T236" s="47">
        <v>4.1433333366479994</v>
      </c>
      <c r="U236" s="25">
        <v>0.67974537091415954</v>
      </c>
      <c r="V236" s="175" t="s">
        <v>210</v>
      </c>
      <c r="W236" s="198" t="s">
        <v>214</v>
      </c>
      <c r="X236" s="26">
        <v>18</v>
      </c>
      <c r="Y236" s="27">
        <v>4.3</v>
      </c>
      <c r="Z236" s="28">
        <v>0</v>
      </c>
      <c r="AA236" s="396">
        <v>0</v>
      </c>
      <c r="AB236" s="261" t="s">
        <v>301</v>
      </c>
      <c r="AC236" s="200"/>
    </row>
    <row r="237" spans="1:29" s="20" customFormat="1" x14ac:dyDescent="0.3">
      <c r="A237" s="370">
        <v>45526</v>
      </c>
      <c r="B237" s="37">
        <v>16.2</v>
      </c>
      <c r="C237" s="14">
        <v>24.8</v>
      </c>
      <c r="D237" s="14">
        <v>15.6</v>
      </c>
      <c r="E237" s="14">
        <v>25</v>
      </c>
      <c r="F237" s="14">
        <v>11.8</v>
      </c>
      <c r="G237" s="58">
        <f t="shared" si="11"/>
        <v>13.2</v>
      </c>
      <c r="H237" s="58">
        <f t="shared" si="12"/>
        <v>18.05</v>
      </c>
      <c r="I237" s="60">
        <v>18.51388682055099</v>
      </c>
      <c r="J237" s="366">
        <v>17.814652435103099</v>
      </c>
      <c r="K237" s="29">
        <v>9.7059262780017193</v>
      </c>
      <c r="L237" s="58">
        <v>13.54957149807753</v>
      </c>
      <c r="M237" s="90">
        <v>99</v>
      </c>
      <c r="N237" s="30">
        <v>12</v>
      </c>
      <c r="O237" s="87">
        <v>75.742311507936506</v>
      </c>
      <c r="P237" s="377">
        <v>1016.11327797973</v>
      </c>
      <c r="Q237" s="21">
        <v>1013.72969012232</v>
      </c>
      <c r="R237" s="382">
        <v>1014.9760750003338</v>
      </c>
      <c r="S237" s="54">
        <v>6.5000000052000004</v>
      </c>
      <c r="T237" s="47">
        <v>3.6500000029200002</v>
      </c>
      <c r="U237" s="25">
        <v>1.0133159601057689</v>
      </c>
      <c r="V237" s="175" t="s">
        <v>209</v>
      </c>
      <c r="W237" s="198"/>
      <c r="X237" s="26">
        <v>0</v>
      </c>
      <c r="Y237" s="27">
        <v>0</v>
      </c>
      <c r="Z237" s="28">
        <v>0</v>
      </c>
      <c r="AA237" s="396">
        <v>0</v>
      </c>
      <c r="AB237" s="261" t="s">
        <v>260</v>
      </c>
      <c r="AC237" s="200"/>
    </row>
    <row r="238" spans="1:29" s="20" customFormat="1" x14ac:dyDescent="0.3">
      <c r="A238" s="370">
        <v>45527</v>
      </c>
      <c r="B238" s="37">
        <v>12.2</v>
      </c>
      <c r="C238" s="14">
        <v>27.4</v>
      </c>
      <c r="D238" s="14">
        <v>16.7</v>
      </c>
      <c r="E238" s="14">
        <v>27.8</v>
      </c>
      <c r="F238" s="14">
        <v>9.6</v>
      </c>
      <c r="G238" s="58">
        <f t="shared" si="11"/>
        <v>18.200000000000003</v>
      </c>
      <c r="H238" s="58">
        <f t="shared" si="12"/>
        <v>18.25</v>
      </c>
      <c r="I238" s="60">
        <v>18.457405986185695</v>
      </c>
      <c r="J238" s="366">
        <v>16.041895770244501</v>
      </c>
      <c r="K238" s="29">
        <v>7.8759872840655696</v>
      </c>
      <c r="L238" s="58">
        <v>12.574053003877225</v>
      </c>
      <c r="M238" s="90">
        <v>96</v>
      </c>
      <c r="N238" s="30">
        <v>40</v>
      </c>
      <c r="O238" s="87">
        <v>71.862113072397051</v>
      </c>
      <c r="P238" s="377">
        <v>1017.88080543997</v>
      </c>
      <c r="Q238" s="21">
        <v>1014.19332190887</v>
      </c>
      <c r="R238" s="382">
        <v>1016.0475269775797</v>
      </c>
      <c r="S238" s="54">
        <v>5.4000000043199998</v>
      </c>
      <c r="T238" s="47">
        <v>3.9000000031200011</v>
      </c>
      <c r="U238" s="25">
        <v>1.0499744188497036</v>
      </c>
      <c r="V238" s="175" t="s">
        <v>209</v>
      </c>
      <c r="W238" s="198"/>
      <c r="X238" s="26">
        <v>0</v>
      </c>
      <c r="Y238" s="27">
        <v>0</v>
      </c>
      <c r="Z238" s="28">
        <v>0</v>
      </c>
      <c r="AA238" s="396">
        <v>0</v>
      </c>
      <c r="AB238" s="261" t="s">
        <v>285</v>
      </c>
      <c r="AC238" s="200"/>
    </row>
    <row r="239" spans="1:29" s="20" customFormat="1" x14ac:dyDescent="0.3">
      <c r="A239" s="370">
        <v>45528</v>
      </c>
      <c r="B239" s="37">
        <v>15</v>
      </c>
      <c r="C239" s="14">
        <v>30.9</v>
      </c>
      <c r="D239" s="14">
        <v>19</v>
      </c>
      <c r="E239" s="14">
        <v>31.5</v>
      </c>
      <c r="F239" s="14">
        <v>11.8</v>
      </c>
      <c r="G239" s="58">
        <f t="shared" si="11"/>
        <v>19.7</v>
      </c>
      <c r="H239" s="58">
        <f t="shared" si="12"/>
        <v>20.975000000000001</v>
      </c>
      <c r="I239" s="60">
        <v>21.148957575757624</v>
      </c>
      <c r="J239" s="366">
        <v>19.461213937927901</v>
      </c>
      <c r="K239" s="29">
        <v>10.54195987504</v>
      </c>
      <c r="L239" s="58">
        <v>15.165982590780574</v>
      </c>
      <c r="M239" s="90">
        <v>96</v>
      </c>
      <c r="N239" s="30">
        <v>40</v>
      </c>
      <c r="O239" s="87">
        <v>72.213939393939427</v>
      </c>
      <c r="P239" s="377">
        <v>1019.51792776476</v>
      </c>
      <c r="Q239" s="21">
        <v>1015.08140316069</v>
      </c>
      <c r="R239" s="382">
        <v>1017.3030992063667</v>
      </c>
      <c r="S239" s="54">
        <v>4.1000000032799999</v>
      </c>
      <c r="T239" s="47">
        <v>2.5466666687039998</v>
      </c>
      <c r="U239" s="25">
        <v>0.77101818243499443</v>
      </c>
      <c r="V239" s="175" t="s">
        <v>209</v>
      </c>
      <c r="W239" s="198"/>
      <c r="X239" s="26">
        <v>0</v>
      </c>
      <c r="Y239" s="27">
        <v>0</v>
      </c>
      <c r="Z239" s="28">
        <v>0</v>
      </c>
      <c r="AA239" s="396">
        <v>0</v>
      </c>
      <c r="AB239" s="261" t="s">
        <v>285</v>
      </c>
      <c r="AC239" s="200"/>
    </row>
    <row r="240" spans="1:29" s="20" customFormat="1" x14ac:dyDescent="0.3">
      <c r="A240" s="370">
        <v>45529</v>
      </c>
      <c r="B240" s="37">
        <v>16.100000000000001</v>
      </c>
      <c r="C240" s="14">
        <v>32.200000000000003</v>
      </c>
      <c r="D240" s="14">
        <v>21.1</v>
      </c>
      <c r="E240" s="14">
        <v>34.299999999999997</v>
      </c>
      <c r="F240" s="14">
        <v>13.8</v>
      </c>
      <c r="G240" s="58">
        <f t="shared" si="11"/>
        <v>20.499999999999996</v>
      </c>
      <c r="H240" s="58">
        <f t="shared" si="12"/>
        <v>22.625</v>
      </c>
      <c r="I240" s="60">
        <v>21.370836991513038</v>
      </c>
      <c r="J240" s="366">
        <v>21.082270274698299</v>
      </c>
      <c r="K240" s="29">
        <v>12.186986518027201</v>
      </c>
      <c r="L240" s="58">
        <v>16.815361944911263</v>
      </c>
      <c r="M240" s="90">
        <v>99</v>
      </c>
      <c r="N240" s="30">
        <v>33</v>
      </c>
      <c r="O240" s="87">
        <v>78.211735440444855</v>
      </c>
      <c r="P240" s="377">
        <v>1016.7377708159499</v>
      </c>
      <c r="Q240" s="21">
        <v>1012.60471137804</v>
      </c>
      <c r="R240" s="382">
        <v>1015.3214728070097</v>
      </c>
      <c r="S240" s="54">
        <v>4.1000000032799999</v>
      </c>
      <c r="T240" s="47">
        <v>2.1666666684</v>
      </c>
      <c r="U240" s="25">
        <v>0.60016096038648115</v>
      </c>
      <c r="V240" s="175" t="s">
        <v>209</v>
      </c>
      <c r="W240" s="198"/>
      <c r="X240" s="26">
        <v>0</v>
      </c>
      <c r="Y240" s="27">
        <v>0</v>
      </c>
      <c r="Z240" s="28">
        <v>0</v>
      </c>
      <c r="AA240" s="396">
        <v>0</v>
      </c>
      <c r="AB240" s="261" t="s">
        <v>285</v>
      </c>
      <c r="AC240" s="200"/>
    </row>
    <row r="241" spans="1:29" s="20" customFormat="1" x14ac:dyDescent="0.3">
      <c r="A241" s="370">
        <v>45530</v>
      </c>
      <c r="B241" s="37">
        <v>20.8</v>
      </c>
      <c r="C241" s="14">
        <v>27.2</v>
      </c>
      <c r="D241" s="14">
        <v>19.3</v>
      </c>
      <c r="E241" s="14">
        <v>27.4</v>
      </c>
      <c r="F241" s="14">
        <v>17.7</v>
      </c>
      <c r="G241" s="58">
        <f t="shared" si="11"/>
        <v>9.6999999999999993</v>
      </c>
      <c r="H241" s="58">
        <f t="shared" si="12"/>
        <v>21.65</v>
      </c>
      <c r="I241" s="60">
        <v>22.134753580966226</v>
      </c>
      <c r="J241" s="366">
        <v>19.178903164648201</v>
      </c>
      <c r="K241" s="29">
        <v>14.367223463664599</v>
      </c>
      <c r="L241" s="58">
        <v>16.775147661893758</v>
      </c>
      <c r="M241" s="90">
        <v>90</v>
      </c>
      <c r="N241" s="30">
        <v>59</v>
      </c>
      <c r="O241" s="87">
        <v>72.247754309298372</v>
      </c>
      <c r="P241" s="377">
        <v>1019.38874911913</v>
      </c>
      <c r="Q241" s="21">
        <v>1016.6431929241199</v>
      </c>
      <c r="R241" s="382">
        <v>1018.1006992518298</v>
      </c>
      <c r="S241" s="54">
        <v>8.8000000070399995</v>
      </c>
      <c r="T241" s="47">
        <v>5.5966666711439998</v>
      </c>
      <c r="U241" s="25">
        <v>2.1620296205691423</v>
      </c>
      <c r="V241" s="175" t="s">
        <v>210</v>
      </c>
      <c r="W241" s="198"/>
      <c r="X241" s="26">
        <v>0</v>
      </c>
      <c r="Y241" s="27">
        <v>0</v>
      </c>
      <c r="Z241" s="28">
        <v>0</v>
      </c>
      <c r="AA241" s="396">
        <v>0</v>
      </c>
      <c r="AB241" s="261" t="s">
        <v>258</v>
      </c>
      <c r="AC241" s="200"/>
    </row>
    <row r="242" spans="1:29" s="20" customFormat="1" ht="28.8" x14ac:dyDescent="0.3">
      <c r="A242" s="370">
        <v>45531</v>
      </c>
      <c r="B242" s="37">
        <v>20.3</v>
      </c>
      <c r="C242" s="14">
        <v>29.9</v>
      </c>
      <c r="D242" s="14">
        <v>22.1</v>
      </c>
      <c r="E242" s="14">
        <v>30.3</v>
      </c>
      <c r="F242" s="14">
        <v>16.7</v>
      </c>
      <c r="G242" s="58">
        <f t="shared" si="11"/>
        <v>13.600000000000001</v>
      </c>
      <c r="H242" s="58">
        <f t="shared" si="12"/>
        <v>23.6</v>
      </c>
      <c r="I242" s="60">
        <v>23.588332114118511</v>
      </c>
      <c r="J242" s="366">
        <v>20.246758215310599</v>
      </c>
      <c r="K242" s="29">
        <v>15.049695377947801</v>
      </c>
      <c r="L242" s="58">
        <v>17.901368627122835</v>
      </c>
      <c r="M242" s="90">
        <v>92</v>
      </c>
      <c r="N242" s="30">
        <v>51.3333333333333</v>
      </c>
      <c r="O242" s="87">
        <v>72.358449158741792</v>
      </c>
      <c r="P242" s="377">
        <v>1020.64468489326</v>
      </c>
      <c r="Q242" s="21">
        <v>1017.71000074395</v>
      </c>
      <c r="R242" s="382">
        <v>1019.0396432657709</v>
      </c>
      <c r="S242" s="54">
        <v>8.8000000070399995</v>
      </c>
      <c r="T242" s="47">
        <v>5.8400000046719995</v>
      </c>
      <c r="U242" s="25">
        <v>1.8059253854974016</v>
      </c>
      <c r="V242" s="175" t="s">
        <v>210</v>
      </c>
      <c r="W242" s="198"/>
      <c r="X242" s="26">
        <v>0</v>
      </c>
      <c r="Y242" s="27">
        <v>0</v>
      </c>
      <c r="Z242" s="28">
        <v>0</v>
      </c>
      <c r="AA242" s="396">
        <v>0</v>
      </c>
      <c r="AB242" s="261" t="s">
        <v>421</v>
      </c>
      <c r="AC242" s="200"/>
    </row>
    <row r="243" spans="1:29" s="20" customFormat="1" x14ac:dyDescent="0.3">
      <c r="A243" s="370">
        <v>45532</v>
      </c>
      <c r="B243" s="37">
        <v>19.7</v>
      </c>
      <c r="C243" s="14">
        <v>33.200000000000003</v>
      </c>
      <c r="D243" s="14">
        <v>19.5</v>
      </c>
      <c r="E243" s="14">
        <v>33.5</v>
      </c>
      <c r="F243" s="14">
        <v>16.5</v>
      </c>
      <c r="G243" s="58">
        <f t="shared" si="11"/>
        <v>17</v>
      </c>
      <c r="H243" s="58">
        <f t="shared" si="12"/>
        <v>22.975000000000001</v>
      </c>
      <c r="I243" s="60">
        <v>24.099345454545453</v>
      </c>
      <c r="J243" s="366">
        <v>21.5574210158961</v>
      </c>
      <c r="K243" s="29">
        <v>14.5856443706243</v>
      </c>
      <c r="L243" s="58">
        <v>16.895795534515695</v>
      </c>
      <c r="M243" s="90">
        <v>98</v>
      </c>
      <c r="N243" s="30">
        <v>34</v>
      </c>
      <c r="O243" s="87">
        <v>68.679030303030359</v>
      </c>
      <c r="P243" s="377">
        <v>1021.10986184039</v>
      </c>
      <c r="Q243" s="21">
        <v>1017.82756517903</v>
      </c>
      <c r="R243" s="382">
        <v>1019.5613505799208</v>
      </c>
      <c r="S243" s="54">
        <v>9.2000000073599999</v>
      </c>
      <c r="T243" s="47">
        <v>5.4600000043680001</v>
      </c>
      <c r="U243" s="25">
        <v>1.4057333344579246</v>
      </c>
      <c r="V243" s="175" t="s">
        <v>209</v>
      </c>
      <c r="W243" s="198"/>
      <c r="X243" s="26">
        <v>0</v>
      </c>
      <c r="Y243" s="27">
        <v>0</v>
      </c>
      <c r="Z243" s="28">
        <v>0</v>
      </c>
      <c r="AA243" s="396">
        <v>0</v>
      </c>
      <c r="AB243" s="261" t="s">
        <v>236</v>
      </c>
      <c r="AC243" s="200"/>
    </row>
    <row r="244" spans="1:29" s="20" customFormat="1" x14ac:dyDescent="0.3">
      <c r="A244" s="370">
        <v>45533</v>
      </c>
      <c r="B244" s="37">
        <v>16.8</v>
      </c>
      <c r="C244" s="14">
        <v>34.1</v>
      </c>
      <c r="D244" s="14">
        <v>20.2</v>
      </c>
      <c r="E244" s="14">
        <v>34.4</v>
      </c>
      <c r="F244" s="14">
        <v>13.65</v>
      </c>
      <c r="G244" s="58">
        <f t="shared" si="11"/>
        <v>20.75</v>
      </c>
      <c r="H244" s="58">
        <f t="shared" si="12"/>
        <v>22.825000000000003</v>
      </c>
      <c r="I244" s="60">
        <v>23.292246376811587</v>
      </c>
      <c r="J244" s="366">
        <v>19.011704847772201</v>
      </c>
      <c r="K244" s="29">
        <v>12.038903790304801</v>
      </c>
      <c r="L244" s="58">
        <v>15.196190263033753</v>
      </c>
      <c r="M244" s="90">
        <v>98</v>
      </c>
      <c r="N244" s="30">
        <v>28.3333333333333</v>
      </c>
      <c r="O244" s="87">
        <v>66.156280193236725</v>
      </c>
      <c r="P244" s="377">
        <v>1019.98429697415</v>
      </c>
      <c r="Q244" s="21">
        <v>1015.4327133813</v>
      </c>
      <c r="R244" s="382">
        <v>1017.9173763698928</v>
      </c>
      <c r="S244" s="54">
        <v>5.8000000046400002</v>
      </c>
      <c r="T244" s="47">
        <v>4.1433333366479994</v>
      </c>
      <c r="U244" s="25">
        <v>0.9928743969295718</v>
      </c>
      <c r="V244" s="175" t="s">
        <v>209</v>
      </c>
      <c r="W244" s="198"/>
      <c r="X244" s="26">
        <v>0</v>
      </c>
      <c r="Y244" s="27">
        <v>0</v>
      </c>
      <c r="Z244" s="28">
        <v>0</v>
      </c>
      <c r="AA244" s="396">
        <v>0</v>
      </c>
      <c r="AB244" s="261" t="s">
        <v>310</v>
      </c>
      <c r="AC244" s="200"/>
    </row>
    <row r="245" spans="1:29" s="20" customFormat="1" x14ac:dyDescent="0.3">
      <c r="A245" s="370">
        <v>45534</v>
      </c>
      <c r="B245" s="37">
        <v>17.2</v>
      </c>
      <c r="C245" s="14">
        <v>34.799999999999997</v>
      </c>
      <c r="D245" s="14">
        <v>18.899999999999999</v>
      </c>
      <c r="E245" s="14">
        <v>34.9</v>
      </c>
      <c r="F245" s="14">
        <v>14.2</v>
      </c>
      <c r="G245" s="58">
        <f t="shared" si="11"/>
        <v>20.7</v>
      </c>
      <c r="H245" s="58">
        <f>(B245+C245+2*D245)/4</f>
        <v>22.45</v>
      </c>
      <c r="I245" s="60">
        <v>22.773469387755089</v>
      </c>
      <c r="J245" s="366">
        <v>18.8403440384192</v>
      </c>
      <c r="K245" s="29">
        <v>10.2173081822952</v>
      </c>
      <c r="L245" s="58">
        <v>14.900737175227841</v>
      </c>
      <c r="M245" s="90">
        <v>98</v>
      </c>
      <c r="N245" s="30">
        <v>24</v>
      </c>
      <c r="O245" s="87">
        <v>67.055393586005835</v>
      </c>
      <c r="P245" s="377">
        <v>1019.29703782544</v>
      </c>
      <c r="Q245" s="21">
        <v>1015.62024769114</v>
      </c>
      <c r="R245" s="382">
        <v>1017.8417332807277</v>
      </c>
      <c r="S245" s="54">
        <v>6.8000000054400003</v>
      </c>
      <c r="T245" s="47">
        <v>3.9900000031920002</v>
      </c>
      <c r="U245" s="25">
        <v>0.92029883455548245</v>
      </c>
      <c r="V245" s="175" t="s">
        <v>209</v>
      </c>
      <c r="W245" s="198"/>
      <c r="X245" s="26">
        <v>0</v>
      </c>
      <c r="Y245" s="27">
        <v>0</v>
      </c>
      <c r="Z245" s="28">
        <v>0</v>
      </c>
      <c r="AA245" s="396">
        <v>0</v>
      </c>
      <c r="AB245" s="261" t="s">
        <v>422</v>
      </c>
      <c r="AC245" s="200"/>
    </row>
    <row r="246" spans="1:29" s="312" customFormat="1" ht="15" thickBot="1" x14ac:dyDescent="0.35">
      <c r="A246" s="370">
        <v>45535</v>
      </c>
      <c r="B246" s="296">
        <v>16.7</v>
      </c>
      <c r="C246" s="297">
        <v>34.200000000000003</v>
      </c>
      <c r="D246" s="297">
        <v>20.5</v>
      </c>
      <c r="E246" s="297">
        <v>34.9</v>
      </c>
      <c r="F246" s="297">
        <v>13.8</v>
      </c>
      <c r="G246" s="298">
        <f t="shared" si="11"/>
        <v>21.099999999999998</v>
      </c>
      <c r="H246" s="297">
        <f>(B246+C246+2*D246)/4</f>
        <v>22.975000000000001</v>
      </c>
      <c r="I246" s="299">
        <v>23.205084125822967</v>
      </c>
      <c r="J246" s="368">
        <v>19.022054632771699</v>
      </c>
      <c r="K246" s="297">
        <v>9.4170545383781707</v>
      </c>
      <c r="L246" s="298">
        <v>13.894913728850218</v>
      </c>
      <c r="M246" s="300">
        <v>97</v>
      </c>
      <c r="N246" s="301">
        <v>22</v>
      </c>
      <c r="O246" s="302">
        <v>62.758473543038299</v>
      </c>
      <c r="P246" s="379">
        <v>1020.28518495141</v>
      </c>
      <c r="Q246" s="303">
        <v>1016.33077960919</v>
      </c>
      <c r="R246" s="385">
        <v>1018.2920885000643</v>
      </c>
      <c r="S246" s="304">
        <v>8.2000000065599998</v>
      </c>
      <c r="T246" s="305">
        <v>5.1166666707599999</v>
      </c>
      <c r="U246" s="306">
        <v>1.0624359920716047</v>
      </c>
      <c r="V246" s="307" t="s">
        <v>209</v>
      </c>
      <c r="W246" s="391"/>
      <c r="X246" s="308">
        <v>0</v>
      </c>
      <c r="Y246" s="309">
        <v>0</v>
      </c>
      <c r="Z246" s="310">
        <v>0</v>
      </c>
      <c r="AA246" s="397">
        <v>0</v>
      </c>
      <c r="AB246" s="311" t="s">
        <v>297</v>
      </c>
      <c r="AC246" s="357"/>
    </row>
    <row r="247" spans="1:29" s="326" customFormat="1" x14ac:dyDescent="0.3">
      <c r="A247" s="370">
        <v>45536</v>
      </c>
      <c r="B247" s="313">
        <v>17</v>
      </c>
      <c r="C247" s="314">
        <v>30.3</v>
      </c>
      <c r="D247" s="314">
        <v>19.100000000000001</v>
      </c>
      <c r="E247" s="314">
        <v>30.7</v>
      </c>
      <c r="F247" s="314">
        <v>15.5</v>
      </c>
      <c r="G247" s="315">
        <f t="shared" si="11"/>
        <v>15.2</v>
      </c>
      <c r="H247" s="315">
        <f>(B247+C247+2*D247)/4</f>
        <v>21.375</v>
      </c>
      <c r="I247" s="316">
        <v>21.66155810983398</v>
      </c>
      <c r="J247" s="336">
        <v>19.7054239813306</v>
      </c>
      <c r="K247" s="314">
        <v>13.6930447013017</v>
      </c>
      <c r="L247" s="315">
        <v>16.254939276035298</v>
      </c>
      <c r="M247" s="317">
        <v>99</v>
      </c>
      <c r="N247" s="318">
        <v>44</v>
      </c>
      <c r="O247" s="319">
        <v>74.200000000000017</v>
      </c>
      <c r="P247" s="380">
        <v>1020.1828802101199</v>
      </c>
      <c r="Q247" s="320">
        <v>1015.00114682383</v>
      </c>
      <c r="R247" s="386">
        <v>1017.7337605126457</v>
      </c>
      <c r="S247" s="290">
        <v>6.5000000052000004</v>
      </c>
      <c r="T247" s="321">
        <v>4.5533333369760012</v>
      </c>
      <c r="U247" s="291">
        <v>1.1597828872624416</v>
      </c>
      <c r="V247" s="292" t="s">
        <v>209</v>
      </c>
      <c r="W247" s="335"/>
      <c r="X247" s="322">
        <v>0</v>
      </c>
      <c r="Y247" s="323">
        <v>0</v>
      </c>
      <c r="Z247" s="324">
        <v>0</v>
      </c>
      <c r="AA247" s="398">
        <v>0</v>
      </c>
      <c r="AB247" s="325" t="s">
        <v>297</v>
      </c>
      <c r="AC247" s="402"/>
    </row>
    <row r="248" spans="1:29" s="20" customFormat="1" ht="28.8" x14ac:dyDescent="0.3">
      <c r="A248" s="370">
        <v>45537</v>
      </c>
      <c r="B248" s="37">
        <v>16.399999999999999</v>
      </c>
      <c r="C248" s="14">
        <v>32.733333333333299</v>
      </c>
      <c r="D248" s="14">
        <v>18.2</v>
      </c>
      <c r="E248" s="14">
        <v>33.700000000000003</v>
      </c>
      <c r="F248" s="14">
        <v>13.3</v>
      </c>
      <c r="G248" s="58">
        <f t="shared" si="11"/>
        <v>20.400000000000002</v>
      </c>
      <c r="H248" s="58">
        <f t="shared" ref="H248:H275" si="13">(B248+C248+2*D248)/4</f>
        <v>21.383333333333326</v>
      </c>
      <c r="I248" s="60">
        <v>22.103216592151028</v>
      </c>
      <c r="J248" s="366">
        <v>18.5421105994233</v>
      </c>
      <c r="K248" s="29">
        <v>8.0022656591367998</v>
      </c>
      <c r="L248" s="58">
        <v>13.593794482396127</v>
      </c>
      <c r="M248" s="90">
        <v>96</v>
      </c>
      <c r="N248" s="30">
        <v>23</v>
      </c>
      <c r="O248" s="87">
        <v>64.816567312468948</v>
      </c>
      <c r="P248" s="377">
        <v>1016.87103860115</v>
      </c>
      <c r="Q248" s="21">
        <v>1012.72565391694</v>
      </c>
      <c r="R248" s="382">
        <v>1014.8699891490268</v>
      </c>
      <c r="S248" s="54">
        <v>3.4000000027200001</v>
      </c>
      <c r="T248" s="47">
        <v>1.9066666681919997</v>
      </c>
      <c r="U248" s="25">
        <v>0.57342275257000996</v>
      </c>
      <c r="V248" s="175" t="s">
        <v>209</v>
      </c>
      <c r="W248" s="196"/>
      <c r="X248" s="16">
        <v>0</v>
      </c>
      <c r="Y248" s="17">
        <v>0</v>
      </c>
      <c r="Z248" s="18">
        <v>0</v>
      </c>
      <c r="AA248" s="394">
        <v>0</v>
      </c>
      <c r="AB248" s="260" t="s">
        <v>427</v>
      </c>
      <c r="AC248" s="200"/>
    </row>
    <row r="249" spans="1:29" s="20" customFormat="1" x14ac:dyDescent="0.3">
      <c r="A249" s="370">
        <v>45538</v>
      </c>
      <c r="B249" s="37">
        <v>15.8</v>
      </c>
      <c r="C249" s="14">
        <v>34</v>
      </c>
      <c r="D249" s="14">
        <v>18.600000000000001</v>
      </c>
      <c r="E249" s="14">
        <v>34.700000000000003</v>
      </c>
      <c r="F249" s="14">
        <v>13.1</v>
      </c>
      <c r="G249" s="58">
        <f t="shared" si="11"/>
        <v>21.6</v>
      </c>
      <c r="H249" s="58">
        <f t="shared" si="13"/>
        <v>21.75</v>
      </c>
      <c r="I249" s="60">
        <v>21.951999999999984</v>
      </c>
      <c r="J249" s="366">
        <v>18.729954874565799</v>
      </c>
      <c r="K249" s="29">
        <v>9.7440256183557601</v>
      </c>
      <c r="L249" s="58">
        <v>13.603912573537698</v>
      </c>
      <c r="M249" s="90">
        <v>96</v>
      </c>
      <c r="N249" s="30">
        <v>24</v>
      </c>
      <c r="O249" s="87">
        <v>65.090943396226422</v>
      </c>
      <c r="P249" s="377">
        <v>1018.96575793112</v>
      </c>
      <c r="Q249" s="21">
        <v>1015.40871867894</v>
      </c>
      <c r="R249" s="382">
        <v>1017.2722303598497</v>
      </c>
      <c r="S249" s="54">
        <v>6.8000000054400003</v>
      </c>
      <c r="T249" s="47">
        <v>4.8800000039039997</v>
      </c>
      <c r="U249" s="25">
        <v>0.75171069242526511</v>
      </c>
      <c r="V249" s="175" t="s">
        <v>209</v>
      </c>
      <c r="W249" s="196"/>
      <c r="X249" s="16">
        <v>0</v>
      </c>
      <c r="Y249" s="17">
        <v>0</v>
      </c>
      <c r="Z249" s="18">
        <v>0</v>
      </c>
      <c r="AA249" s="394">
        <v>0</v>
      </c>
      <c r="AB249" s="260" t="s">
        <v>375</v>
      </c>
      <c r="AC249" s="200"/>
    </row>
    <row r="250" spans="1:29" s="20" customFormat="1" x14ac:dyDescent="0.3">
      <c r="A250" s="370">
        <v>45539</v>
      </c>
      <c r="B250" s="37">
        <v>14.133333333333301</v>
      </c>
      <c r="C250" s="14">
        <v>32.299999999999997</v>
      </c>
      <c r="D250" s="14">
        <v>18.7</v>
      </c>
      <c r="E250" s="14">
        <v>33.1</v>
      </c>
      <c r="F250" s="14">
        <v>11.1</v>
      </c>
      <c r="G250" s="58">
        <f t="shared" si="11"/>
        <v>22</v>
      </c>
      <c r="H250" s="58">
        <f t="shared" si="13"/>
        <v>20.958333333333321</v>
      </c>
      <c r="I250" s="60">
        <v>21.007030665669433</v>
      </c>
      <c r="J250" s="366">
        <v>17.542305299231199</v>
      </c>
      <c r="K250" s="29">
        <v>9.0176110725498297</v>
      </c>
      <c r="L250" s="58">
        <v>12.437258966467848</v>
      </c>
      <c r="M250" s="90">
        <v>94</v>
      </c>
      <c r="N250" s="30">
        <v>24</v>
      </c>
      <c r="O250" s="87">
        <v>63.544128646222852</v>
      </c>
      <c r="P250" s="377">
        <v>1018.85054862855</v>
      </c>
      <c r="Q250" s="21">
        <v>1013.9446771681</v>
      </c>
      <c r="R250" s="382">
        <v>1016.8126714868449</v>
      </c>
      <c r="S250" s="55">
        <v>5.8000000046400002</v>
      </c>
      <c r="T250" s="48">
        <v>4.0466666699040008</v>
      </c>
      <c r="U250" s="19">
        <v>0.88904263347114876</v>
      </c>
      <c r="V250" s="175" t="s">
        <v>209</v>
      </c>
      <c r="W250" s="197" t="s">
        <v>214</v>
      </c>
      <c r="X250" s="16">
        <v>18</v>
      </c>
      <c r="Y250" s="17">
        <v>1</v>
      </c>
      <c r="Z250" s="18">
        <v>0</v>
      </c>
      <c r="AA250" s="394">
        <v>0</v>
      </c>
      <c r="AB250" s="260" t="s">
        <v>428</v>
      </c>
      <c r="AC250" s="200"/>
    </row>
    <row r="251" spans="1:29" s="20" customFormat="1" x14ac:dyDescent="0.3">
      <c r="A251" s="370">
        <v>45540</v>
      </c>
      <c r="B251" s="37">
        <v>13.5</v>
      </c>
      <c r="C251" s="14">
        <v>30.9</v>
      </c>
      <c r="D251" s="14">
        <v>16.899999999999999</v>
      </c>
      <c r="E251" s="14">
        <v>31.2</v>
      </c>
      <c r="F251" s="14">
        <v>11.2</v>
      </c>
      <c r="G251" s="50">
        <f t="shared" si="11"/>
        <v>20</v>
      </c>
      <c r="H251" s="50">
        <f t="shared" si="13"/>
        <v>19.549999999999997</v>
      </c>
      <c r="I251" s="60">
        <v>19.975682223922433</v>
      </c>
      <c r="J251" s="366">
        <v>16.099336869759501</v>
      </c>
      <c r="K251" s="29">
        <v>5.8377270293436201</v>
      </c>
      <c r="L251" s="58">
        <v>10.37356459742931</v>
      </c>
      <c r="M251" s="90">
        <v>95</v>
      </c>
      <c r="N251" s="30">
        <v>22</v>
      </c>
      <c r="O251" s="87">
        <v>60.773909716908953</v>
      </c>
      <c r="P251" s="377">
        <v>1018.5446556806201</v>
      </c>
      <c r="Q251" s="21">
        <v>1013.89152761027</v>
      </c>
      <c r="R251" s="382">
        <v>1016.3962493071754</v>
      </c>
      <c r="S251" s="54">
        <v>8.8000000070399995</v>
      </c>
      <c r="T251" s="47">
        <v>5.6100000044879996</v>
      </c>
      <c r="U251" s="25">
        <v>1.3835628677225154</v>
      </c>
      <c r="V251" s="175" t="s">
        <v>209</v>
      </c>
      <c r="W251" s="197"/>
      <c r="X251" s="16">
        <v>0</v>
      </c>
      <c r="Y251" s="17">
        <v>0</v>
      </c>
      <c r="Z251" s="18">
        <v>0</v>
      </c>
      <c r="AA251" s="394">
        <v>0</v>
      </c>
      <c r="AB251" s="260" t="s">
        <v>375</v>
      </c>
      <c r="AC251" s="200"/>
    </row>
    <row r="252" spans="1:29" s="20" customFormat="1" x14ac:dyDescent="0.3">
      <c r="A252" s="370">
        <v>45541</v>
      </c>
      <c r="B252" s="37">
        <v>12.2</v>
      </c>
      <c r="C252" s="14">
        <v>30.233333333333299</v>
      </c>
      <c r="D252" s="14">
        <v>19.2</v>
      </c>
      <c r="E252" s="14">
        <v>30.8333333333333</v>
      </c>
      <c r="F252" s="14">
        <v>9.6</v>
      </c>
      <c r="G252" s="50">
        <f t="shared" si="11"/>
        <v>21.233333333333299</v>
      </c>
      <c r="H252" s="50">
        <f t="shared" si="13"/>
        <v>20.208333333333321</v>
      </c>
      <c r="I252" s="60">
        <v>20.409093211752783</v>
      </c>
      <c r="J252" s="366">
        <v>14.005277320060999</v>
      </c>
      <c r="K252" s="29">
        <v>7.5696920762053299</v>
      </c>
      <c r="L252" s="58">
        <v>10.692320404804006</v>
      </c>
      <c r="M252" s="90">
        <v>94</v>
      </c>
      <c r="N252" s="30">
        <v>24.6666666666667</v>
      </c>
      <c r="O252" s="87">
        <v>59.740628166160064</v>
      </c>
      <c r="P252" s="377">
        <v>1018.4276761968</v>
      </c>
      <c r="Q252" s="21">
        <v>1014.02292460901</v>
      </c>
      <c r="R252" s="382">
        <v>1015.9542273275164</v>
      </c>
      <c r="S252" s="54">
        <v>7.8000000062400003</v>
      </c>
      <c r="T252" s="47">
        <v>4.9333333372800006</v>
      </c>
      <c r="U252" s="25">
        <v>1.0540526857469976</v>
      </c>
      <c r="V252" s="175" t="s">
        <v>209</v>
      </c>
      <c r="W252" s="197"/>
      <c r="X252" s="16">
        <v>0</v>
      </c>
      <c r="Y252" s="17">
        <v>0</v>
      </c>
      <c r="Z252" s="18">
        <v>0</v>
      </c>
      <c r="AA252" s="394">
        <v>0</v>
      </c>
      <c r="AB252" s="260" t="s">
        <v>241</v>
      </c>
      <c r="AC252" s="200"/>
    </row>
    <row r="253" spans="1:29" s="20" customFormat="1" x14ac:dyDescent="0.3">
      <c r="A253" s="370">
        <v>45542</v>
      </c>
      <c r="B253" s="37">
        <v>14.8</v>
      </c>
      <c r="C253" s="14">
        <v>28.9</v>
      </c>
      <c r="D253" s="14">
        <v>17.2</v>
      </c>
      <c r="E253" s="14">
        <v>29.7</v>
      </c>
      <c r="F253" s="14">
        <v>11.9</v>
      </c>
      <c r="G253" s="50">
        <f t="shared" si="11"/>
        <v>17.799999999999997</v>
      </c>
      <c r="H253" s="50">
        <f t="shared" si="13"/>
        <v>19.524999999999999</v>
      </c>
      <c r="I253" s="60">
        <v>20.561331805449417</v>
      </c>
      <c r="J253" s="366">
        <v>15.759208638421899</v>
      </c>
      <c r="K253" s="29">
        <v>10.308706402943301</v>
      </c>
      <c r="L253" s="58">
        <v>12.482357668085086</v>
      </c>
      <c r="M253" s="90">
        <v>96</v>
      </c>
      <c r="N253" s="30">
        <v>33</v>
      </c>
      <c r="O253" s="87">
        <v>64.602750190985475</v>
      </c>
      <c r="P253" s="377">
        <v>1020.22646109368</v>
      </c>
      <c r="Q253" s="21">
        <v>1016.65220181092</v>
      </c>
      <c r="R253" s="382">
        <v>1018.3098887052099</v>
      </c>
      <c r="S253" s="54">
        <v>8.8000000070399995</v>
      </c>
      <c r="T253" s="47">
        <v>4.4266666702079993</v>
      </c>
      <c r="U253" s="25">
        <v>1.3393557433684009</v>
      </c>
      <c r="V253" s="175" t="s">
        <v>209</v>
      </c>
      <c r="W253" s="197"/>
      <c r="X253" s="16">
        <v>0</v>
      </c>
      <c r="Y253" s="17">
        <v>0</v>
      </c>
      <c r="Z253" s="18">
        <v>0</v>
      </c>
      <c r="AA253" s="394">
        <v>0</v>
      </c>
      <c r="AB253" s="260" t="s">
        <v>297</v>
      </c>
      <c r="AC253" s="200"/>
    </row>
    <row r="254" spans="1:29" s="20" customFormat="1" x14ac:dyDescent="0.3">
      <c r="A254" s="370">
        <v>45543</v>
      </c>
      <c r="B254" s="37">
        <v>13.5666666666667</v>
      </c>
      <c r="C254" s="14">
        <v>29.5</v>
      </c>
      <c r="D254" s="14">
        <v>17.3</v>
      </c>
      <c r="E254" s="14">
        <v>30.1</v>
      </c>
      <c r="F254" s="14">
        <v>11</v>
      </c>
      <c r="G254" s="50">
        <f t="shared" si="11"/>
        <v>19.100000000000001</v>
      </c>
      <c r="H254" s="50">
        <f t="shared" si="13"/>
        <v>19.416666666666675</v>
      </c>
      <c r="I254" s="60">
        <v>20.324024130589056</v>
      </c>
      <c r="J254" s="366">
        <v>15.5042088918887</v>
      </c>
      <c r="K254" s="29">
        <v>8.9323150332197407</v>
      </c>
      <c r="L254" s="58">
        <v>11.349771143109553</v>
      </c>
      <c r="M254" s="90">
        <v>96</v>
      </c>
      <c r="N254" s="30">
        <v>31</v>
      </c>
      <c r="O254" s="87">
        <v>62.194582446179339</v>
      </c>
      <c r="P254" s="377">
        <v>1019.19653791769</v>
      </c>
      <c r="Q254" s="21">
        <v>1012.39596393792</v>
      </c>
      <c r="R254" s="382">
        <v>1015.7392173179604</v>
      </c>
      <c r="S254" s="54">
        <v>7.1000000056800001</v>
      </c>
      <c r="T254" s="47">
        <v>4.2366666700560014</v>
      </c>
      <c r="U254" s="25">
        <v>1.4908327430899952</v>
      </c>
      <c r="V254" s="175" t="s">
        <v>209</v>
      </c>
      <c r="W254" s="197"/>
      <c r="X254" s="16">
        <v>0</v>
      </c>
      <c r="Y254" s="17">
        <v>0</v>
      </c>
      <c r="Z254" s="18">
        <v>0</v>
      </c>
      <c r="AA254" s="394">
        <v>0</v>
      </c>
      <c r="AB254" s="260" t="s">
        <v>236</v>
      </c>
      <c r="AC254" s="200"/>
    </row>
    <row r="255" spans="1:29" s="20" customFormat="1" x14ac:dyDescent="0.3">
      <c r="A255" s="370">
        <v>45544</v>
      </c>
      <c r="B255" s="37">
        <v>17.100000000000001</v>
      </c>
      <c r="C255" s="14">
        <v>26.6</v>
      </c>
      <c r="D255" s="14">
        <v>17.899999999999999</v>
      </c>
      <c r="E255" s="14">
        <v>27.4</v>
      </c>
      <c r="F255" s="14">
        <v>11.5</v>
      </c>
      <c r="G255" s="50">
        <f t="shared" si="11"/>
        <v>15.899999999999999</v>
      </c>
      <c r="H255" s="50">
        <f t="shared" si="13"/>
        <v>19.875</v>
      </c>
      <c r="I255" s="60">
        <v>19.25362110311756</v>
      </c>
      <c r="J255" s="366">
        <v>14.5405055199593</v>
      </c>
      <c r="K255" s="29">
        <v>4.9699450649400001</v>
      </c>
      <c r="L255" s="58">
        <v>10.462637858920363</v>
      </c>
      <c r="M255" s="90">
        <v>93</v>
      </c>
      <c r="N255" s="30">
        <v>30</v>
      </c>
      <c r="O255" s="87">
        <v>62.467026378896904</v>
      </c>
      <c r="P255" s="377">
        <v>1012.52668910425</v>
      </c>
      <c r="Q255" s="21">
        <v>1004.09734699387</v>
      </c>
      <c r="R255" s="382">
        <v>1007.6759625362911</v>
      </c>
      <c r="S255" s="54">
        <v>9.5000000076000006</v>
      </c>
      <c r="T255" s="47">
        <v>6.1850000049479998</v>
      </c>
      <c r="U255" s="25">
        <v>1.784868106943474</v>
      </c>
      <c r="V255" s="175" t="s">
        <v>209</v>
      </c>
      <c r="W255" s="197" t="s">
        <v>214</v>
      </c>
      <c r="X255" s="16">
        <v>12</v>
      </c>
      <c r="Y255" s="17">
        <v>5</v>
      </c>
      <c r="Z255" s="18">
        <v>0</v>
      </c>
      <c r="AA255" s="394">
        <v>0</v>
      </c>
      <c r="AB255" s="260" t="s">
        <v>215</v>
      </c>
      <c r="AC255" s="200"/>
    </row>
    <row r="256" spans="1:29" s="20" customFormat="1" x14ac:dyDescent="0.3">
      <c r="A256" s="370">
        <v>45545</v>
      </c>
      <c r="B256" s="37">
        <v>16.2</v>
      </c>
      <c r="C256" s="14">
        <v>17.100000000000001</v>
      </c>
      <c r="D256" s="14">
        <v>15.7</v>
      </c>
      <c r="E256" s="14">
        <v>17.5</v>
      </c>
      <c r="F256" s="14">
        <v>15.4</v>
      </c>
      <c r="G256" s="50">
        <f>E256-F256</f>
        <v>2.0999999999999996</v>
      </c>
      <c r="H256" s="50">
        <f t="shared" si="13"/>
        <v>16.174999999999997</v>
      </c>
      <c r="I256" s="60">
        <v>16.328569705740399</v>
      </c>
      <c r="J256" s="366">
        <v>17.240775894625202</v>
      </c>
      <c r="K256" s="29">
        <v>14.2283341666287</v>
      </c>
      <c r="L256" s="58">
        <v>15.733226171281599</v>
      </c>
      <c r="M256" s="90">
        <v>99</v>
      </c>
      <c r="N256" s="30">
        <v>87</v>
      </c>
      <c r="O256" s="87">
        <v>96.316449589966211</v>
      </c>
      <c r="P256" s="377">
        <v>1009.1817323919799</v>
      </c>
      <c r="Q256" s="21">
        <v>1004.18133665684</v>
      </c>
      <c r="R256" s="382">
        <v>1006.7928100872797</v>
      </c>
      <c r="S256" s="54">
        <v>2.7000000021599999</v>
      </c>
      <c r="T256" s="47">
        <v>1.4966666678640002</v>
      </c>
      <c r="U256" s="25">
        <v>0.47625422131684003</v>
      </c>
      <c r="V256" s="175" t="s">
        <v>209</v>
      </c>
      <c r="W256" s="197" t="s">
        <v>214</v>
      </c>
      <c r="X256" s="16">
        <v>12</v>
      </c>
      <c r="Y256" s="17">
        <v>4</v>
      </c>
      <c r="Z256" s="18">
        <v>0</v>
      </c>
      <c r="AA256" s="394">
        <v>0</v>
      </c>
      <c r="AB256" s="260" t="s">
        <v>217</v>
      </c>
      <c r="AC256" s="200"/>
    </row>
    <row r="257" spans="1:29" s="20" customFormat="1" x14ac:dyDescent="0.3">
      <c r="A257" s="370">
        <v>45546</v>
      </c>
      <c r="B257" s="37">
        <v>15.1</v>
      </c>
      <c r="C257" s="14">
        <v>20.6</v>
      </c>
      <c r="D257" s="14">
        <v>14</v>
      </c>
      <c r="E257" s="14">
        <v>22.7</v>
      </c>
      <c r="F257" s="14">
        <v>12.9</v>
      </c>
      <c r="G257" s="50">
        <f t="shared" ref="G257:G307" si="14">E257-F257</f>
        <v>9.7999999999999989</v>
      </c>
      <c r="H257" s="50">
        <f t="shared" si="13"/>
        <v>15.925000000000001</v>
      </c>
      <c r="I257" s="60">
        <v>16.865780529254678</v>
      </c>
      <c r="J257" s="366">
        <v>18.239525513551399</v>
      </c>
      <c r="K257" s="29">
        <v>10.8858197866733</v>
      </c>
      <c r="L257" s="58">
        <v>14.423322756394821</v>
      </c>
      <c r="M257" s="90">
        <v>99</v>
      </c>
      <c r="N257" s="30">
        <v>60</v>
      </c>
      <c r="O257" s="87">
        <v>86.640082544306892</v>
      </c>
      <c r="P257" s="377">
        <v>1009.01706223757</v>
      </c>
      <c r="Q257" s="21">
        <v>1005.99323039764</v>
      </c>
      <c r="R257" s="382">
        <v>1007.7585388369424</v>
      </c>
      <c r="S257" s="54">
        <v>3.70000000296</v>
      </c>
      <c r="T257" s="47">
        <v>2.3833333352399997</v>
      </c>
      <c r="U257" s="25">
        <v>0.61006312260506412</v>
      </c>
      <c r="V257" s="175" t="s">
        <v>209</v>
      </c>
      <c r="W257" s="197"/>
      <c r="X257" s="16">
        <v>0</v>
      </c>
      <c r="Y257" s="17">
        <v>0</v>
      </c>
      <c r="Z257" s="18">
        <v>0</v>
      </c>
      <c r="AA257" s="394">
        <v>0</v>
      </c>
      <c r="AB257" s="260" t="s">
        <v>260</v>
      </c>
      <c r="AC257" s="200"/>
    </row>
    <row r="258" spans="1:29" s="20" customFormat="1" x14ac:dyDescent="0.3">
      <c r="A258" s="370">
        <v>45547</v>
      </c>
      <c r="B258" s="37">
        <v>13.3</v>
      </c>
      <c r="C258" s="14">
        <v>26.1</v>
      </c>
      <c r="D258" s="14">
        <v>15.2</v>
      </c>
      <c r="E258" s="14">
        <v>26.5</v>
      </c>
      <c r="F258" s="14">
        <v>12.6</v>
      </c>
      <c r="G258" s="50">
        <f t="shared" si="14"/>
        <v>13.9</v>
      </c>
      <c r="H258" s="50">
        <f t="shared" si="13"/>
        <v>17.450000000000003</v>
      </c>
      <c r="I258" s="60">
        <v>18.032883211678786</v>
      </c>
      <c r="J258" s="366">
        <v>16.809723807385101</v>
      </c>
      <c r="K258" s="29">
        <v>11.002293477885701</v>
      </c>
      <c r="L258" s="58">
        <v>13.194235117262878</v>
      </c>
      <c r="M258" s="90">
        <v>99</v>
      </c>
      <c r="N258" s="30">
        <v>41</v>
      </c>
      <c r="O258" s="87">
        <v>76.375304136253092</v>
      </c>
      <c r="P258" s="377">
        <v>1008.34341962925</v>
      </c>
      <c r="Q258" s="21">
        <v>1005.76038956046</v>
      </c>
      <c r="R258" s="382">
        <v>1007.2472760813049</v>
      </c>
      <c r="S258" s="54">
        <v>6.10000000488</v>
      </c>
      <c r="T258" s="47">
        <v>3.4933333361279999</v>
      </c>
      <c r="U258" s="25">
        <v>0.89343065764905527</v>
      </c>
      <c r="V258" s="175" t="s">
        <v>209</v>
      </c>
      <c r="W258" s="197"/>
      <c r="X258" s="16">
        <v>0</v>
      </c>
      <c r="Y258" s="17">
        <v>0</v>
      </c>
      <c r="Z258" s="18">
        <v>0</v>
      </c>
      <c r="AA258" s="394">
        <v>0</v>
      </c>
      <c r="AB258" s="260" t="s">
        <v>278</v>
      </c>
      <c r="AC258" s="200"/>
    </row>
    <row r="259" spans="1:29" s="20" customFormat="1" ht="28.8" x14ac:dyDescent="0.3">
      <c r="A259" s="370">
        <v>45548</v>
      </c>
      <c r="B259" s="37">
        <v>13.6</v>
      </c>
      <c r="C259" s="14">
        <v>26.8</v>
      </c>
      <c r="D259" s="14">
        <v>16.5</v>
      </c>
      <c r="E259" s="14">
        <v>28.3</v>
      </c>
      <c r="F259" s="14">
        <v>11.8</v>
      </c>
      <c r="G259" s="50">
        <f t="shared" si="14"/>
        <v>16.5</v>
      </c>
      <c r="H259" s="50">
        <f t="shared" si="13"/>
        <v>18.350000000000001</v>
      </c>
      <c r="I259" s="60">
        <v>18.005688695231193</v>
      </c>
      <c r="J259" s="366">
        <v>16.866821931149602</v>
      </c>
      <c r="K259" s="29">
        <v>10.7043558931548</v>
      </c>
      <c r="L259" s="58">
        <v>14.275478802074629</v>
      </c>
      <c r="M259" s="90">
        <v>97</v>
      </c>
      <c r="N259" s="30">
        <v>43</v>
      </c>
      <c r="O259" s="87">
        <v>81.022754780924728</v>
      </c>
      <c r="P259" s="377">
        <v>1008.27353090699</v>
      </c>
      <c r="Q259" s="21">
        <v>1001.4948853237</v>
      </c>
      <c r="R259" s="382">
        <v>1004.9634057536757</v>
      </c>
      <c r="S259" s="54">
        <v>7.5000000059999996</v>
      </c>
      <c r="T259" s="47">
        <v>3.6000000028800003</v>
      </c>
      <c r="U259" s="25">
        <v>0.89008714668157518</v>
      </c>
      <c r="V259" s="175" t="s">
        <v>209</v>
      </c>
      <c r="W259" s="198" t="s">
        <v>214</v>
      </c>
      <c r="X259" s="26">
        <v>144</v>
      </c>
      <c r="Y259" s="27">
        <v>32</v>
      </c>
      <c r="Z259" s="28">
        <v>0</v>
      </c>
      <c r="AA259" s="396">
        <v>0</v>
      </c>
      <c r="AB259" s="261" t="s">
        <v>431</v>
      </c>
      <c r="AC259" s="200"/>
    </row>
    <row r="260" spans="1:29" s="20" customFormat="1" x14ac:dyDescent="0.3">
      <c r="A260" s="370">
        <v>45549</v>
      </c>
      <c r="B260" s="37">
        <v>15.9</v>
      </c>
      <c r="C260" s="14">
        <v>13.4</v>
      </c>
      <c r="D260" s="14">
        <v>10.6</v>
      </c>
      <c r="E260" s="14">
        <v>16.2</v>
      </c>
      <c r="F260" s="14">
        <v>10.4</v>
      </c>
      <c r="G260" s="50">
        <f t="shared" si="14"/>
        <v>5.7999999999999989</v>
      </c>
      <c r="H260" s="50">
        <f t="shared" si="13"/>
        <v>12.625</v>
      </c>
      <c r="I260" s="60">
        <v>13.665964147286775</v>
      </c>
      <c r="J260" s="366">
        <v>15.8425182173319</v>
      </c>
      <c r="K260" s="29">
        <v>9.7326423200993002</v>
      </c>
      <c r="L260" s="58">
        <v>13.089380974378889</v>
      </c>
      <c r="M260" s="90">
        <v>99</v>
      </c>
      <c r="N260" s="30">
        <v>94</v>
      </c>
      <c r="O260" s="87">
        <v>96.316739341085253</v>
      </c>
      <c r="P260" s="377">
        <v>1005.21134100701</v>
      </c>
      <c r="Q260" s="21">
        <v>1002.49750626503</v>
      </c>
      <c r="R260" s="382">
        <v>1003.8748332318175</v>
      </c>
      <c r="S260" s="54">
        <v>7.8000000062400003</v>
      </c>
      <c r="T260" s="47">
        <v>5.1233333374320003</v>
      </c>
      <c r="U260" s="25">
        <v>1.5885780051468317</v>
      </c>
      <c r="V260" s="175" t="s">
        <v>208</v>
      </c>
      <c r="W260" s="198" t="s">
        <v>214</v>
      </c>
      <c r="X260" s="26">
        <v>30</v>
      </c>
      <c r="Y260" s="27">
        <v>34</v>
      </c>
      <c r="Z260" s="28">
        <v>0</v>
      </c>
      <c r="AA260" s="396">
        <v>0</v>
      </c>
      <c r="AB260" s="261" t="s">
        <v>275</v>
      </c>
      <c r="AC260" s="200"/>
    </row>
    <row r="261" spans="1:29" s="20" customFormat="1" x14ac:dyDescent="0.3">
      <c r="A261" s="370">
        <v>45550</v>
      </c>
      <c r="B261" s="37">
        <v>10.4</v>
      </c>
      <c r="C261" s="14">
        <v>21.2</v>
      </c>
      <c r="D261" s="14">
        <v>13.4</v>
      </c>
      <c r="E261" s="14">
        <v>22.4</v>
      </c>
      <c r="F261" s="14">
        <v>10</v>
      </c>
      <c r="G261" s="50">
        <f t="shared" si="14"/>
        <v>12.399999999999999</v>
      </c>
      <c r="H261" s="50">
        <f t="shared" si="13"/>
        <v>14.600000000000001</v>
      </c>
      <c r="I261" s="60">
        <v>14.976744468757637</v>
      </c>
      <c r="J261" s="366">
        <v>14.9707259497044</v>
      </c>
      <c r="K261" s="29">
        <v>9.2350752157244909</v>
      </c>
      <c r="L261" s="58">
        <v>10.665692916349608</v>
      </c>
      <c r="M261" s="90">
        <v>99</v>
      </c>
      <c r="N261" s="30">
        <v>50</v>
      </c>
      <c r="O261" s="87">
        <v>77.459275468028238</v>
      </c>
      <c r="P261" s="377">
        <v>1010.57584005278</v>
      </c>
      <c r="Q261" s="21">
        <v>1004.99015786542</v>
      </c>
      <c r="R261" s="382">
        <v>1008.1843912349368</v>
      </c>
      <c r="S261" s="54">
        <v>9.2000000073599999</v>
      </c>
      <c r="T261" s="47">
        <v>5.8400000046719995</v>
      </c>
      <c r="U261" s="25">
        <v>1.4813031862081434</v>
      </c>
      <c r="V261" s="175" t="s">
        <v>209</v>
      </c>
      <c r="W261" s="198" t="s">
        <v>214</v>
      </c>
      <c r="X261" s="26">
        <v>30</v>
      </c>
      <c r="Y261" s="27">
        <v>11</v>
      </c>
      <c r="Z261" s="28">
        <v>0</v>
      </c>
      <c r="AA261" s="396">
        <v>0</v>
      </c>
      <c r="AB261" s="261" t="s">
        <v>215</v>
      </c>
      <c r="AC261" s="200"/>
    </row>
    <row r="262" spans="1:29" s="20" customFormat="1" x14ac:dyDescent="0.3">
      <c r="A262" s="370">
        <v>45551</v>
      </c>
      <c r="B262" s="37">
        <v>13.7</v>
      </c>
      <c r="C262" s="14">
        <v>17.100000000000001</v>
      </c>
      <c r="D262" s="14">
        <v>12.7</v>
      </c>
      <c r="E262" s="14">
        <v>17.899999999999999</v>
      </c>
      <c r="F262" s="14">
        <v>12.6</v>
      </c>
      <c r="G262" s="50">
        <f t="shared" si="14"/>
        <v>5.2999999999999989</v>
      </c>
      <c r="H262" s="50">
        <f t="shared" si="13"/>
        <v>14.05</v>
      </c>
      <c r="I262" s="60">
        <v>14.70576388888888</v>
      </c>
      <c r="J262" s="366">
        <v>17.5</v>
      </c>
      <c r="K262" s="29">
        <v>12.2</v>
      </c>
      <c r="L262" s="58">
        <v>14.369097222222303</v>
      </c>
      <c r="M262" s="90">
        <v>100</v>
      </c>
      <c r="N262" s="30">
        <v>87.2</v>
      </c>
      <c r="O262" s="87">
        <v>97.911875000000109</v>
      </c>
      <c r="P262" s="377">
        <v>1016.37034956739</v>
      </c>
      <c r="Q262" s="21">
        <v>1006.04109122136</v>
      </c>
      <c r="R262" s="382">
        <v>1009.77646716867</v>
      </c>
      <c r="S262" s="54">
        <v>6.5000000052000004</v>
      </c>
      <c r="T262" s="47">
        <v>3.7700000030159999</v>
      </c>
      <c r="U262" s="25">
        <v>0.89072727343985802</v>
      </c>
      <c r="V262" s="175" t="s">
        <v>209</v>
      </c>
      <c r="W262" s="198" t="s">
        <v>214</v>
      </c>
      <c r="X262" s="26">
        <v>6</v>
      </c>
      <c r="Y262" s="27">
        <v>0.2</v>
      </c>
      <c r="Z262" s="28">
        <v>0</v>
      </c>
      <c r="AA262" s="396">
        <v>0</v>
      </c>
      <c r="AB262" s="261" t="s">
        <v>275</v>
      </c>
      <c r="AC262" s="200"/>
    </row>
    <row r="263" spans="1:29" s="20" customFormat="1" x14ac:dyDescent="0.3">
      <c r="A263" s="370">
        <v>45552</v>
      </c>
      <c r="B263" s="37">
        <v>12</v>
      </c>
      <c r="C263" s="14">
        <v>23.4</v>
      </c>
      <c r="D263" s="14">
        <v>12.6</v>
      </c>
      <c r="E263" s="14">
        <v>24.3</v>
      </c>
      <c r="F263" s="14">
        <v>9.8000000000000007</v>
      </c>
      <c r="G263" s="50">
        <f t="shared" si="14"/>
        <v>14.5</v>
      </c>
      <c r="H263" s="50">
        <f t="shared" si="13"/>
        <v>15.149999999999999</v>
      </c>
      <c r="I263" s="60">
        <v>15.486379430159817</v>
      </c>
      <c r="J263" s="366">
        <v>18.3</v>
      </c>
      <c r="K263" s="29">
        <v>9.1</v>
      </c>
      <c r="L263" s="58">
        <v>13.352814454482267</v>
      </c>
      <c r="M263" s="90">
        <v>100</v>
      </c>
      <c r="N263" s="30">
        <v>60.9</v>
      </c>
      <c r="O263" s="87">
        <v>88.534190410006929</v>
      </c>
      <c r="P263" s="377">
        <v>1024.6437107496499</v>
      </c>
      <c r="Q263" s="21">
        <v>1016.28428480204</v>
      </c>
      <c r="R263" s="382">
        <v>1020.4371433529976</v>
      </c>
      <c r="S263" s="54">
        <v>6.8000000054400003</v>
      </c>
      <c r="T263" s="47">
        <v>4.3900000035120001</v>
      </c>
      <c r="U263" s="25">
        <v>1.0438334555570914</v>
      </c>
      <c r="V263" s="175" t="s">
        <v>209</v>
      </c>
      <c r="W263" s="198" t="s">
        <v>239</v>
      </c>
      <c r="X263" s="26">
        <v>0</v>
      </c>
      <c r="Y263" s="27">
        <v>0</v>
      </c>
      <c r="Z263" s="28">
        <v>0</v>
      </c>
      <c r="AA263" s="396">
        <v>0</v>
      </c>
      <c r="AB263" s="261" t="s">
        <v>252</v>
      </c>
      <c r="AC263" s="200"/>
    </row>
    <row r="264" spans="1:29" s="20" customFormat="1" x14ac:dyDescent="0.3">
      <c r="A264" s="370">
        <v>45553</v>
      </c>
      <c r="B264" s="37">
        <v>9</v>
      </c>
      <c r="C264" s="14">
        <v>26</v>
      </c>
      <c r="D264" s="14">
        <v>14.3</v>
      </c>
      <c r="E264" s="14">
        <v>27.4</v>
      </c>
      <c r="F264" s="14">
        <v>7.7</v>
      </c>
      <c r="G264" s="50">
        <f t="shared" si="14"/>
        <v>19.7</v>
      </c>
      <c r="H264" s="50">
        <f t="shared" si="13"/>
        <v>15.9</v>
      </c>
      <c r="I264" s="60">
        <v>15.974236111111079</v>
      </c>
      <c r="J264" s="366">
        <v>16.8</v>
      </c>
      <c r="K264" s="29">
        <v>7.2</v>
      </c>
      <c r="L264" s="58">
        <v>11.607777777777766</v>
      </c>
      <c r="M264" s="90">
        <v>100</v>
      </c>
      <c r="N264" s="30">
        <v>46.1</v>
      </c>
      <c r="O264" s="87">
        <v>77.951805555555666</v>
      </c>
      <c r="P264" s="377">
        <v>1024.9991994187701</v>
      </c>
      <c r="Q264" s="21">
        <v>1021.4516531635099</v>
      </c>
      <c r="R264" s="382">
        <v>1023.5906240356718</v>
      </c>
      <c r="S264" s="54">
        <v>13.30000001064</v>
      </c>
      <c r="T264" s="47">
        <v>7.9866666730559999</v>
      </c>
      <c r="U264" s="25">
        <v>1.144279149439853</v>
      </c>
      <c r="V264" s="175" t="s">
        <v>209</v>
      </c>
      <c r="W264" s="198" t="s">
        <v>239</v>
      </c>
      <c r="X264" s="26">
        <v>0</v>
      </c>
      <c r="Y264" s="27">
        <v>0</v>
      </c>
      <c r="Z264" s="28">
        <v>0</v>
      </c>
      <c r="AA264" s="396">
        <v>0</v>
      </c>
      <c r="AB264" s="261" t="s">
        <v>435</v>
      </c>
      <c r="AC264" s="200"/>
    </row>
    <row r="265" spans="1:29" s="20" customFormat="1" x14ac:dyDescent="0.3">
      <c r="A265" s="370">
        <v>45554</v>
      </c>
      <c r="B265" s="37">
        <v>10</v>
      </c>
      <c r="C265" s="14">
        <v>23</v>
      </c>
      <c r="D265" s="14">
        <v>11.4</v>
      </c>
      <c r="E265" s="14">
        <v>23.8</v>
      </c>
      <c r="F265" s="14">
        <v>7.7</v>
      </c>
      <c r="G265" s="50">
        <f t="shared" si="14"/>
        <v>16.100000000000001</v>
      </c>
      <c r="H265" s="50">
        <f t="shared" si="13"/>
        <v>13.95</v>
      </c>
      <c r="I265" s="60">
        <v>14.554444444444472</v>
      </c>
      <c r="J265" s="366">
        <v>15.8</v>
      </c>
      <c r="K265" s="29">
        <v>6.6</v>
      </c>
      <c r="L265" s="58">
        <v>11.032777777777808</v>
      </c>
      <c r="M265" s="90">
        <v>100</v>
      </c>
      <c r="N265" s="30">
        <v>53.5</v>
      </c>
      <c r="O265" s="87">
        <v>80.752013888889081</v>
      </c>
      <c r="P265" s="377">
        <v>1024.7168831219101</v>
      </c>
      <c r="Q265" s="21">
        <v>1021.1602172328101</v>
      </c>
      <c r="R265" s="382">
        <v>1022.9060883624819</v>
      </c>
      <c r="S265" s="54">
        <v>4.8000000038400001</v>
      </c>
      <c r="T265" s="47">
        <v>3.1600000025279993</v>
      </c>
      <c r="U265" s="25">
        <v>0.9401089166588793</v>
      </c>
      <c r="V265" s="175" t="s">
        <v>209</v>
      </c>
      <c r="W265" s="198"/>
      <c r="X265" s="26">
        <v>0</v>
      </c>
      <c r="Y265" s="27">
        <v>0</v>
      </c>
      <c r="Z265" s="28">
        <v>0</v>
      </c>
      <c r="AA265" s="396">
        <v>0</v>
      </c>
      <c r="AB265" s="261" t="s">
        <v>258</v>
      </c>
      <c r="AC265" s="200"/>
    </row>
    <row r="266" spans="1:29" s="20" customFormat="1" x14ac:dyDescent="0.3">
      <c r="A266" s="370">
        <v>45555</v>
      </c>
      <c r="B266" s="37">
        <v>5.6</v>
      </c>
      <c r="C266" s="14">
        <v>21.7</v>
      </c>
      <c r="D266" s="14">
        <v>8.8000000000000007</v>
      </c>
      <c r="E266" s="14">
        <v>24.4</v>
      </c>
      <c r="F266" s="14">
        <v>3.9</v>
      </c>
      <c r="G266" s="50">
        <f t="shared" si="14"/>
        <v>20.5</v>
      </c>
      <c r="H266" s="50">
        <f t="shared" si="13"/>
        <v>11.225</v>
      </c>
      <c r="I266" s="60">
        <v>12.368102849200827</v>
      </c>
      <c r="J266" s="366">
        <v>13.9</v>
      </c>
      <c r="K266" s="29">
        <v>3</v>
      </c>
      <c r="L266" s="58">
        <v>8.3261292564280449</v>
      </c>
      <c r="M266" s="90">
        <v>100</v>
      </c>
      <c r="N266" s="30">
        <v>44.5</v>
      </c>
      <c r="O266" s="87">
        <v>79.143780403057733</v>
      </c>
      <c r="P266" s="377">
        <v>1026.6204244713001</v>
      </c>
      <c r="Q266" s="21">
        <v>1023.39435400536</v>
      </c>
      <c r="R266" s="382">
        <v>1025.2459466835246</v>
      </c>
      <c r="S266" s="54">
        <v>3.1000000024799998</v>
      </c>
      <c r="T266" s="47">
        <v>1.4866666678560001</v>
      </c>
      <c r="U266" s="25">
        <v>0.45248045001984993</v>
      </c>
      <c r="V266" s="175" t="s">
        <v>209</v>
      </c>
      <c r="W266" s="198"/>
      <c r="X266" s="26">
        <v>0</v>
      </c>
      <c r="Y266" s="27">
        <v>0</v>
      </c>
      <c r="Z266" s="28">
        <v>0</v>
      </c>
      <c r="AA266" s="396">
        <v>0</v>
      </c>
      <c r="AB266" s="261" t="s">
        <v>436</v>
      </c>
      <c r="AC266" s="200"/>
    </row>
    <row r="267" spans="1:29" s="20" customFormat="1" ht="28.8" x14ac:dyDescent="0.3">
      <c r="A267" s="370">
        <v>45556</v>
      </c>
      <c r="B267" s="37">
        <v>4.7</v>
      </c>
      <c r="C267" s="14">
        <v>25.4</v>
      </c>
      <c r="D267" s="14">
        <v>9.1</v>
      </c>
      <c r="E267" s="14">
        <v>25.7</v>
      </c>
      <c r="F267" s="14">
        <v>2.7</v>
      </c>
      <c r="G267" s="50">
        <f t="shared" si="14"/>
        <v>23</v>
      </c>
      <c r="H267" s="50">
        <f t="shared" si="13"/>
        <v>12.074999999999999</v>
      </c>
      <c r="I267" s="60">
        <v>12.305763888888889</v>
      </c>
      <c r="J267" s="366">
        <v>13.4</v>
      </c>
      <c r="K267" s="29">
        <v>1.7</v>
      </c>
      <c r="L267" s="58">
        <v>7.4990972222222219</v>
      </c>
      <c r="M267" s="90">
        <v>99.2</v>
      </c>
      <c r="N267" s="30">
        <v>38</v>
      </c>
      <c r="O267" s="87">
        <v>76.273333333333397</v>
      </c>
      <c r="P267" s="377">
        <v>1027.39488547527</v>
      </c>
      <c r="Q267" s="21">
        <v>1021.28342333002</v>
      </c>
      <c r="R267" s="382">
        <v>1024.4919509812523</v>
      </c>
      <c r="S267" s="54">
        <v>3.1000000024799998</v>
      </c>
      <c r="T267" s="47">
        <v>1.4600000011680003</v>
      </c>
      <c r="U267" s="25">
        <v>0.41278952701703792</v>
      </c>
      <c r="V267" s="175" t="s">
        <v>209</v>
      </c>
      <c r="W267" s="198"/>
      <c r="X267" s="26">
        <v>0</v>
      </c>
      <c r="Y267" s="27">
        <v>0</v>
      </c>
      <c r="Z267" s="28">
        <v>0</v>
      </c>
      <c r="AA267" s="396">
        <v>0</v>
      </c>
      <c r="AB267" s="261" t="s">
        <v>437</v>
      </c>
      <c r="AC267" s="200"/>
    </row>
    <row r="268" spans="1:29" s="20" customFormat="1" x14ac:dyDescent="0.3">
      <c r="A268" s="370">
        <v>45557</v>
      </c>
      <c r="B268" s="37">
        <v>4.3</v>
      </c>
      <c r="C268" s="14">
        <v>25.7</v>
      </c>
      <c r="D268" s="14">
        <v>10.8</v>
      </c>
      <c r="E268" s="14">
        <v>26.2</v>
      </c>
      <c r="F268" s="14">
        <v>3.4</v>
      </c>
      <c r="G268" s="50">
        <f t="shared" si="14"/>
        <v>22.8</v>
      </c>
      <c r="H268" s="50">
        <f t="shared" si="13"/>
        <v>12.9</v>
      </c>
      <c r="I268" s="60">
        <v>13.068125000000029</v>
      </c>
      <c r="J268" s="366">
        <v>16.5</v>
      </c>
      <c r="K268" s="29">
        <v>2.5</v>
      </c>
      <c r="L268" s="58">
        <v>9.2312500000000437</v>
      </c>
      <c r="M268" s="90">
        <v>99.4</v>
      </c>
      <c r="N268" s="30">
        <v>50.7</v>
      </c>
      <c r="O268" s="87">
        <v>79.926319444444303</v>
      </c>
      <c r="P268" s="377">
        <v>1023.22446537465</v>
      </c>
      <c r="Q268" s="21">
        <v>1016.2598920200001</v>
      </c>
      <c r="R268" s="382">
        <v>1019.3224508334619</v>
      </c>
      <c r="S268" s="54">
        <v>4.1000000032799999</v>
      </c>
      <c r="T268" s="47">
        <v>2.6200000020959995</v>
      </c>
      <c r="U268" s="25">
        <v>0.6776776782198114</v>
      </c>
      <c r="V268" s="175" t="s">
        <v>209</v>
      </c>
      <c r="W268" s="198"/>
      <c r="X268" s="26">
        <v>0</v>
      </c>
      <c r="Y268" s="27">
        <v>0</v>
      </c>
      <c r="Z268" s="28">
        <v>0</v>
      </c>
      <c r="AA268" s="396">
        <v>0</v>
      </c>
      <c r="AB268" s="261" t="s">
        <v>438</v>
      </c>
      <c r="AC268" s="200"/>
    </row>
    <row r="269" spans="1:29" s="20" customFormat="1" x14ac:dyDescent="0.3">
      <c r="A269" s="370">
        <v>45558</v>
      </c>
      <c r="B269" s="37">
        <v>8.4</v>
      </c>
      <c r="C269" s="14">
        <v>24.3</v>
      </c>
      <c r="D269" s="14">
        <v>11.2</v>
      </c>
      <c r="E269" s="14">
        <v>24.4</v>
      </c>
      <c r="F269" s="14">
        <v>7.2</v>
      </c>
      <c r="G269" s="50">
        <f t="shared" si="14"/>
        <v>17.2</v>
      </c>
      <c r="H269" s="50">
        <f t="shared" si="13"/>
        <v>13.775</v>
      </c>
      <c r="I269" s="60">
        <v>14.085545517720607</v>
      </c>
      <c r="J269" s="366">
        <v>16.3</v>
      </c>
      <c r="K269" s="29">
        <v>6.1</v>
      </c>
      <c r="L269" s="58">
        <v>10.408895066018099</v>
      </c>
      <c r="M269" s="90">
        <v>100</v>
      </c>
      <c r="N269" s="30">
        <v>49.7</v>
      </c>
      <c r="O269" s="87">
        <v>81.308269631688589</v>
      </c>
      <c r="P269" s="377">
        <v>1017.36322109841</v>
      </c>
      <c r="Q269" s="21">
        <v>1012.39011921475</v>
      </c>
      <c r="R269" s="382">
        <v>1014.8731933902804</v>
      </c>
      <c r="S269" s="54">
        <v>6.8000000054400003</v>
      </c>
      <c r="T269" s="47">
        <v>4.6500000037199998</v>
      </c>
      <c r="U269" s="25">
        <v>0.99416545445860893</v>
      </c>
      <c r="V269" s="175" t="s">
        <v>209</v>
      </c>
      <c r="W269" s="198"/>
      <c r="X269" s="26">
        <v>0</v>
      </c>
      <c r="Y269" s="27">
        <v>0</v>
      </c>
      <c r="Z269" s="28">
        <v>0</v>
      </c>
      <c r="AA269" s="396">
        <v>0</v>
      </c>
      <c r="AB269" s="261" t="s">
        <v>438</v>
      </c>
      <c r="AC269" s="200"/>
    </row>
    <row r="270" spans="1:29" s="20" customFormat="1" x14ac:dyDescent="0.3">
      <c r="A270" s="370">
        <v>45559</v>
      </c>
      <c r="B270" s="37">
        <v>7</v>
      </c>
      <c r="C270" s="14">
        <v>24.3</v>
      </c>
      <c r="D270" s="14">
        <v>17.7</v>
      </c>
      <c r="E270" s="14">
        <v>24.6</v>
      </c>
      <c r="F270" s="14">
        <v>6.3</v>
      </c>
      <c r="G270" s="50">
        <f t="shared" si="14"/>
        <v>18.3</v>
      </c>
      <c r="H270" s="50">
        <f t="shared" si="13"/>
        <v>16.675000000000001</v>
      </c>
      <c r="I270" s="60">
        <v>16.089513888888881</v>
      </c>
      <c r="J270" s="366">
        <v>14.4</v>
      </c>
      <c r="K270" s="29">
        <v>5.5</v>
      </c>
      <c r="L270" s="58">
        <v>11.053958333333327</v>
      </c>
      <c r="M270" s="90">
        <v>100</v>
      </c>
      <c r="N270" s="30">
        <v>48.8</v>
      </c>
      <c r="O270" s="87">
        <v>74.830069444444362</v>
      </c>
      <c r="P270" s="377">
        <v>1014.36072659543</v>
      </c>
      <c r="Q270" s="21">
        <v>1008.40614935586</v>
      </c>
      <c r="R270" s="382">
        <v>1011.3865585708641</v>
      </c>
      <c r="S270" s="54">
        <v>10.20000000816</v>
      </c>
      <c r="T270" s="47">
        <v>5.2533333375360005</v>
      </c>
      <c r="U270" s="25">
        <v>1.6742575538227638</v>
      </c>
      <c r="V270" s="175" t="s">
        <v>208</v>
      </c>
      <c r="W270" s="198" t="s">
        <v>239</v>
      </c>
      <c r="X270" s="26">
        <v>0</v>
      </c>
      <c r="Y270" s="27">
        <v>0</v>
      </c>
      <c r="Z270" s="28">
        <v>0</v>
      </c>
      <c r="AA270" s="396">
        <v>0</v>
      </c>
      <c r="AB270" s="261" t="s">
        <v>284</v>
      </c>
      <c r="AC270" s="200"/>
    </row>
    <row r="271" spans="1:29" s="20" customFormat="1" x14ac:dyDescent="0.3">
      <c r="A271" s="370">
        <v>45560</v>
      </c>
      <c r="B271" s="37">
        <v>14.4</v>
      </c>
      <c r="C271" s="14">
        <v>20.7</v>
      </c>
      <c r="D271" s="14">
        <v>13.1</v>
      </c>
      <c r="E271" s="14">
        <v>21.4</v>
      </c>
      <c r="F271" s="14">
        <v>11.2</v>
      </c>
      <c r="G271" s="50">
        <f t="shared" si="14"/>
        <v>10.199999999999999</v>
      </c>
      <c r="H271" s="50">
        <f t="shared" si="13"/>
        <v>15.324999999999999</v>
      </c>
      <c r="I271" s="60">
        <v>16.38061153578877</v>
      </c>
      <c r="J271" s="366">
        <v>17.2</v>
      </c>
      <c r="K271" s="29">
        <v>10.7</v>
      </c>
      <c r="L271" s="58">
        <v>13.860041695621986</v>
      </c>
      <c r="M271" s="90">
        <v>97.6</v>
      </c>
      <c r="N271" s="30">
        <v>70.2</v>
      </c>
      <c r="O271" s="87">
        <v>85.525642807505207</v>
      </c>
      <c r="P271" s="377">
        <v>1013.53206281891</v>
      </c>
      <c r="Q271" s="21">
        <v>1010.40823285941</v>
      </c>
      <c r="R271" s="382">
        <v>1012.4255527518085</v>
      </c>
      <c r="S271" s="54">
        <v>8.5000000068000006</v>
      </c>
      <c r="T271" s="47">
        <v>5.0433333373679998</v>
      </c>
      <c r="U271" s="25">
        <v>1.6998014409230036</v>
      </c>
      <c r="V271" s="175" t="s">
        <v>208</v>
      </c>
      <c r="W271" s="198" t="s">
        <v>214</v>
      </c>
      <c r="X271" s="26">
        <v>6</v>
      </c>
      <c r="Y271" s="27">
        <v>1</v>
      </c>
      <c r="Z271" s="28">
        <v>0</v>
      </c>
      <c r="AA271" s="396">
        <v>0</v>
      </c>
      <c r="AB271" s="261" t="s">
        <v>439</v>
      </c>
      <c r="AC271" s="200"/>
    </row>
    <row r="272" spans="1:29" s="20" customFormat="1" x14ac:dyDescent="0.3">
      <c r="A272" s="370">
        <v>45561</v>
      </c>
      <c r="B272" s="37">
        <v>13.8</v>
      </c>
      <c r="C272" s="14">
        <v>19.3</v>
      </c>
      <c r="D272" s="14">
        <v>20.6</v>
      </c>
      <c r="E272" s="14">
        <v>21.5</v>
      </c>
      <c r="F272" s="14">
        <v>11</v>
      </c>
      <c r="G272" s="50">
        <f t="shared" si="14"/>
        <v>10.5</v>
      </c>
      <c r="H272" s="50">
        <f t="shared" si="13"/>
        <v>18.575000000000003</v>
      </c>
      <c r="I272" s="60">
        <v>17.370972222222214</v>
      </c>
      <c r="J272" s="366">
        <v>15.9</v>
      </c>
      <c r="K272" s="29">
        <v>10.6</v>
      </c>
      <c r="L272" s="58">
        <v>14.364791666666639</v>
      </c>
      <c r="M272" s="90">
        <v>100</v>
      </c>
      <c r="N272" s="30">
        <v>66.3</v>
      </c>
      <c r="O272" s="87">
        <v>83.749861111111116</v>
      </c>
      <c r="P272" s="377">
        <v>1012.97677277268</v>
      </c>
      <c r="Q272" s="21">
        <v>1003.5846156533401</v>
      </c>
      <c r="R272" s="382">
        <v>1007.9413988315524</v>
      </c>
      <c r="S272" s="54">
        <v>12.20000000976</v>
      </c>
      <c r="T272" s="47">
        <v>7.6633333394639989</v>
      </c>
      <c r="U272" s="25">
        <v>3.3914486461240076</v>
      </c>
      <c r="V272" s="175" t="s">
        <v>208</v>
      </c>
      <c r="W272" s="198"/>
      <c r="X272" s="26">
        <v>0</v>
      </c>
      <c r="Y272" s="27">
        <v>0</v>
      </c>
      <c r="Z272" s="28">
        <v>0</v>
      </c>
      <c r="AA272" s="396">
        <v>0</v>
      </c>
      <c r="AB272" s="261" t="s">
        <v>261</v>
      </c>
      <c r="AC272" s="200"/>
    </row>
    <row r="273" spans="1:29" s="20" customFormat="1" x14ac:dyDescent="0.3">
      <c r="A273" s="370">
        <v>45562</v>
      </c>
      <c r="B273" s="37">
        <v>19.600000000000001</v>
      </c>
      <c r="C273" s="14">
        <v>20.9</v>
      </c>
      <c r="D273" s="14">
        <v>16</v>
      </c>
      <c r="E273" s="14">
        <v>22.5</v>
      </c>
      <c r="F273" s="14">
        <v>13.6</v>
      </c>
      <c r="G273" s="50">
        <f t="shared" si="14"/>
        <v>8.9</v>
      </c>
      <c r="H273" s="50">
        <f t="shared" si="13"/>
        <v>18.125</v>
      </c>
      <c r="I273" s="60">
        <v>19.6631944444445</v>
      </c>
      <c r="J273" s="366">
        <v>16.899999999999999</v>
      </c>
      <c r="K273" s="29">
        <v>13</v>
      </c>
      <c r="L273" s="58">
        <v>15.132152777777831</v>
      </c>
      <c r="M273" s="90">
        <v>97.2</v>
      </c>
      <c r="N273" s="30">
        <v>64.599999999999994</v>
      </c>
      <c r="O273" s="87">
        <v>75.723055555555462</v>
      </c>
      <c r="P273" s="377">
        <v>1007.40647966092</v>
      </c>
      <c r="Q273" s="21">
        <v>1003.14908932209</v>
      </c>
      <c r="R273" s="382">
        <v>1005.8074618368337</v>
      </c>
      <c r="S273" s="54">
        <v>12.900000010319999</v>
      </c>
      <c r="T273" s="47">
        <v>7.6700000061360019</v>
      </c>
      <c r="U273" s="25">
        <v>3.0328125024262382</v>
      </c>
      <c r="V273" s="175" t="s">
        <v>208</v>
      </c>
      <c r="W273" s="198"/>
      <c r="X273" s="26">
        <v>0</v>
      </c>
      <c r="Y273" s="27">
        <v>0</v>
      </c>
      <c r="Z273" s="28">
        <v>0</v>
      </c>
      <c r="AA273" s="396">
        <v>0</v>
      </c>
      <c r="AB273" s="261" t="s">
        <v>252</v>
      </c>
      <c r="AC273" s="200"/>
    </row>
    <row r="274" spans="1:29" s="20" customFormat="1" x14ac:dyDescent="0.3">
      <c r="A274" s="370">
        <v>45563</v>
      </c>
      <c r="B274" s="37">
        <v>14.6</v>
      </c>
      <c r="C274" s="14">
        <v>17.399999999999999</v>
      </c>
      <c r="D274" s="14">
        <v>11.7</v>
      </c>
      <c r="E274" s="14">
        <v>20.9</v>
      </c>
      <c r="F274" s="14">
        <v>10.8</v>
      </c>
      <c r="G274" s="50">
        <f t="shared" si="14"/>
        <v>10.099999999999998</v>
      </c>
      <c r="H274" s="50">
        <f t="shared" si="13"/>
        <v>13.85</v>
      </c>
      <c r="I274" s="60">
        <v>14.561779013203614</v>
      </c>
      <c r="J274" s="366">
        <v>17.2</v>
      </c>
      <c r="K274" s="29">
        <v>10.7</v>
      </c>
      <c r="L274" s="58">
        <v>13.095691452397514</v>
      </c>
      <c r="M274" s="90">
        <v>100</v>
      </c>
      <c r="N274" s="30">
        <v>61.7</v>
      </c>
      <c r="O274" s="87">
        <v>91.812230715774959</v>
      </c>
      <c r="P274" s="377">
        <v>1016.69518282967</v>
      </c>
      <c r="Q274" s="21">
        <v>1006.23237232127</v>
      </c>
      <c r="R274" s="382">
        <v>1011.5001197521129</v>
      </c>
      <c r="S274" s="54">
        <v>6.5000000052000004</v>
      </c>
      <c r="T274" s="47">
        <v>4.0966666699440015</v>
      </c>
      <c r="U274" s="25">
        <v>0.82534670695051948</v>
      </c>
      <c r="V274" s="175" t="s">
        <v>209</v>
      </c>
      <c r="W274" s="198" t="s">
        <v>214</v>
      </c>
      <c r="X274" s="26">
        <v>12</v>
      </c>
      <c r="Y274" s="27">
        <v>9</v>
      </c>
      <c r="Z274" s="28">
        <v>0</v>
      </c>
      <c r="AA274" s="396">
        <v>0</v>
      </c>
      <c r="AB274" s="261" t="s">
        <v>252</v>
      </c>
      <c r="AC274" s="200"/>
    </row>
    <row r="275" spans="1:29" s="20" customFormat="1" x14ac:dyDescent="0.3">
      <c r="A275" s="370">
        <v>45564</v>
      </c>
      <c r="B275" s="37">
        <v>9.5</v>
      </c>
      <c r="C275" s="14">
        <v>13.2</v>
      </c>
      <c r="D275" s="14">
        <v>6.4</v>
      </c>
      <c r="E275" s="14">
        <v>15</v>
      </c>
      <c r="F275" s="14">
        <v>5</v>
      </c>
      <c r="G275" s="50">
        <f t="shared" si="14"/>
        <v>10</v>
      </c>
      <c r="H275" s="50">
        <f t="shared" si="13"/>
        <v>8.875</v>
      </c>
      <c r="I275" s="60">
        <v>10.276736111111147</v>
      </c>
      <c r="J275" s="366">
        <v>11.2</v>
      </c>
      <c r="K275" s="29">
        <v>3.9</v>
      </c>
      <c r="L275" s="58">
        <v>7.8704861111111208</v>
      </c>
      <c r="M275" s="90">
        <v>100</v>
      </c>
      <c r="N275" s="30">
        <v>66.7</v>
      </c>
      <c r="O275" s="87">
        <v>85.802708333333243</v>
      </c>
      <c r="P275" s="377">
        <v>1024.63330789371</v>
      </c>
      <c r="Q275" s="21">
        <v>1015.87538900624</v>
      </c>
      <c r="R275" s="382">
        <v>1021.5444174282769</v>
      </c>
      <c r="S275" s="54">
        <v>10.20000000816</v>
      </c>
      <c r="T275" s="47">
        <v>5.8100000046479998</v>
      </c>
      <c r="U275" s="25">
        <v>2.1921227828187786</v>
      </c>
      <c r="V275" s="175" t="s">
        <v>210</v>
      </c>
      <c r="W275" s="198"/>
      <c r="X275" s="26">
        <v>0</v>
      </c>
      <c r="Y275" s="27">
        <v>0</v>
      </c>
      <c r="Z275" s="28">
        <v>0</v>
      </c>
      <c r="AA275" s="396">
        <v>0</v>
      </c>
      <c r="AB275" s="261" t="s">
        <v>252</v>
      </c>
      <c r="AC275" s="200"/>
    </row>
    <row r="276" spans="1:29" s="257" customFormat="1" ht="15" thickBot="1" x14ac:dyDescent="0.35">
      <c r="A276" s="370">
        <v>45565</v>
      </c>
      <c r="B276" s="38">
        <v>2.4</v>
      </c>
      <c r="C276" s="22">
        <v>17.100000000000001</v>
      </c>
      <c r="D276" s="22">
        <v>9.1</v>
      </c>
      <c r="E276" s="22">
        <v>17.5</v>
      </c>
      <c r="F276" s="22">
        <v>2.2999999999999998</v>
      </c>
      <c r="G276" s="256">
        <f t="shared" si="14"/>
        <v>15.2</v>
      </c>
      <c r="H276" s="256">
        <f>(B276+C276+2*D276)/4</f>
        <v>9.4250000000000007</v>
      </c>
      <c r="I276" s="61">
        <v>9.6347463516330905</v>
      </c>
      <c r="J276" s="166">
        <v>9.6999999999999993</v>
      </c>
      <c r="K276" s="22">
        <v>1.7</v>
      </c>
      <c r="L276" s="256">
        <v>5.467199444058366</v>
      </c>
      <c r="M276" s="67">
        <v>100</v>
      </c>
      <c r="N276" s="52">
        <v>48.6</v>
      </c>
      <c r="O276" s="63">
        <v>77.395482974287688</v>
      </c>
      <c r="P276" s="381">
        <v>1023.84579005594</v>
      </c>
      <c r="Q276" s="53">
        <v>1018.8850455801499</v>
      </c>
      <c r="R276" s="388">
        <v>1021.3386570364546</v>
      </c>
      <c r="S276" s="56">
        <v>9.2000000073599999</v>
      </c>
      <c r="T276" s="49">
        <v>6.0000000048000004</v>
      </c>
      <c r="U276" s="39">
        <v>1.8667031645103846</v>
      </c>
      <c r="V276" s="176" t="s">
        <v>209</v>
      </c>
      <c r="W276" s="199"/>
      <c r="X276" s="40">
        <v>0</v>
      </c>
      <c r="Y276" s="41">
        <v>0</v>
      </c>
      <c r="Z276" s="42">
        <v>0</v>
      </c>
      <c r="AA276" s="399">
        <v>0</v>
      </c>
      <c r="AB276" s="262" t="s">
        <v>255</v>
      </c>
      <c r="AC276" s="404"/>
    </row>
    <row r="277" spans="1:29" s="33" customFormat="1" x14ac:dyDescent="0.3">
      <c r="A277" s="370">
        <v>45566</v>
      </c>
      <c r="B277" s="57">
        <v>0.2</v>
      </c>
      <c r="C277" s="29">
        <v>16.2</v>
      </c>
      <c r="D277" s="29">
        <v>5.0999999999999996</v>
      </c>
      <c r="E277" s="29">
        <v>16.399999999999999</v>
      </c>
      <c r="F277" s="29">
        <v>-0.1</v>
      </c>
      <c r="G277" s="58">
        <f t="shared" si="14"/>
        <v>16.5</v>
      </c>
      <c r="H277" s="58">
        <f>(B277+C277+2*D277)/4</f>
        <v>6.6499999999999995</v>
      </c>
      <c r="I277" s="65">
        <v>7.6543749999999919</v>
      </c>
      <c r="J277" s="366">
        <v>8.1999999999999993</v>
      </c>
      <c r="K277" s="29">
        <v>-1.2</v>
      </c>
      <c r="L277" s="58">
        <v>4.1909027777777696</v>
      </c>
      <c r="M277" s="90">
        <v>99.4</v>
      </c>
      <c r="N277" s="30">
        <v>53</v>
      </c>
      <c r="O277" s="87">
        <v>80.564722222222315</v>
      </c>
      <c r="P277" s="376">
        <v>1019.55697899149</v>
      </c>
      <c r="Q277" s="31">
        <v>1013.84474462478</v>
      </c>
      <c r="R277" s="382">
        <v>1016.474623578751</v>
      </c>
      <c r="S277" s="89">
        <v>5.10000000408</v>
      </c>
      <c r="T277" s="88">
        <v>3.1533333358559998</v>
      </c>
      <c r="U277" s="32">
        <v>0.90996112803603191</v>
      </c>
      <c r="V277" s="174" t="s">
        <v>209</v>
      </c>
      <c r="W277" s="363"/>
      <c r="X277" s="84">
        <v>0</v>
      </c>
      <c r="Y277" s="85">
        <v>0</v>
      </c>
      <c r="Z277" s="86">
        <v>0</v>
      </c>
      <c r="AA277" s="393">
        <v>0</v>
      </c>
      <c r="AB277" s="259" t="s">
        <v>438</v>
      </c>
      <c r="AC277" s="401"/>
    </row>
    <row r="278" spans="1:29" s="20" customFormat="1" x14ac:dyDescent="0.3">
      <c r="A278" s="370">
        <v>45567</v>
      </c>
      <c r="B278" s="37">
        <v>2</v>
      </c>
      <c r="C278" s="14">
        <v>12.4</v>
      </c>
      <c r="D278" s="14">
        <v>10</v>
      </c>
      <c r="E278" s="14">
        <v>12.5</v>
      </c>
      <c r="F278" s="14">
        <v>1.2</v>
      </c>
      <c r="G278" s="58">
        <f t="shared" si="14"/>
        <v>11.3</v>
      </c>
      <c r="H278" s="58">
        <f t="shared" ref="H278:H305" si="15">(B278+C278+2*D278)/4</f>
        <v>8.6</v>
      </c>
      <c r="I278" s="60">
        <v>8.099305555555576</v>
      </c>
      <c r="J278" s="366">
        <v>9.1</v>
      </c>
      <c r="K278" s="29">
        <v>0.8</v>
      </c>
      <c r="L278" s="58">
        <v>6.175277777777799</v>
      </c>
      <c r="M278" s="90">
        <v>100</v>
      </c>
      <c r="N278" s="30">
        <v>71</v>
      </c>
      <c r="O278" s="87">
        <v>88.329166666666637</v>
      </c>
      <c r="P278" s="377">
        <v>1015.16425376414</v>
      </c>
      <c r="Q278" s="21">
        <v>1008.1186530050001</v>
      </c>
      <c r="R278" s="382">
        <v>1011.4805483126493</v>
      </c>
      <c r="S278" s="54">
        <v>7.5000000059999996</v>
      </c>
      <c r="T278" s="47">
        <v>4.8633333372239997</v>
      </c>
      <c r="U278" s="25">
        <v>1.0889978222219654</v>
      </c>
      <c r="V278" s="175" t="s">
        <v>209</v>
      </c>
      <c r="W278" s="196" t="s">
        <v>214</v>
      </c>
      <c r="X278" s="16">
        <v>6</v>
      </c>
      <c r="Y278" s="17">
        <v>3</v>
      </c>
      <c r="Z278" s="18">
        <v>0</v>
      </c>
      <c r="AA278" s="394">
        <v>0</v>
      </c>
      <c r="AB278" s="260" t="s">
        <v>252</v>
      </c>
      <c r="AC278" s="200"/>
    </row>
    <row r="279" spans="1:29" s="20" customFormat="1" x14ac:dyDescent="0.3">
      <c r="A279" s="370">
        <v>45568</v>
      </c>
      <c r="B279" s="37">
        <v>9.4</v>
      </c>
      <c r="C279" s="14">
        <v>12.8</v>
      </c>
      <c r="D279" s="14">
        <v>11.2</v>
      </c>
      <c r="E279" s="14">
        <v>13</v>
      </c>
      <c r="F279" s="14">
        <v>9</v>
      </c>
      <c r="G279" s="58">
        <f t="shared" si="14"/>
        <v>4</v>
      </c>
      <c r="H279" s="58">
        <f t="shared" si="15"/>
        <v>11.15</v>
      </c>
      <c r="I279" s="60">
        <v>10.742182070882563</v>
      </c>
      <c r="J279" s="366">
        <v>12.8</v>
      </c>
      <c r="K279" s="29">
        <v>8.6999999999999993</v>
      </c>
      <c r="L279" s="58">
        <v>10.539402362751916</v>
      </c>
      <c r="M279" s="90">
        <v>100</v>
      </c>
      <c r="N279" s="30">
        <v>94</v>
      </c>
      <c r="O279" s="87">
        <v>98.649478804725973</v>
      </c>
      <c r="P279" s="377">
        <v>1010.92994154865</v>
      </c>
      <c r="Q279" s="21">
        <v>1007.81158061602</v>
      </c>
      <c r="R279" s="382">
        <v>1009.6332316368597</v>
      </c>
      <c r="S279" s="54">
        <v>3.1000000024799998</v>
      </c>
      <c r="T279" s="47">
        <v>2.3400000018720002</v>
      </c>
      <c r="U279" s="25">
        <v>0.53719604906197249</v>
      </c>
      <c r="V279" s="175" t="s">
        <v>209</v>
      </c>
      <c r="W279" s="196" t="s">
        <v>214</v>
      </c>
      <c r="X279" s="16">
        <v>6</v>
      </c>
      <c r="Y279" s="17">
        <v>11</v>
      </c>
      <c r="Z279" s="18">
        <v>0</v>
      </c>
      <c r="AA279" s="394">
        <v>0</v>
      </c>
      <c r="AB279" s="260" t="s">
        <v>253</v>
      </c>
      <c r="AC279" s="200"/>
    </row>
    <row r="280" spans="1:29" s="20" customFormat="1" x14ac:dyDescent="0.3">
      <c r="A280" s="370">
        <v>45569</v>
      </c>
      <c r="B280" s="37">
        <v>9.6999999999999993</v>
      </c>
      <c r="C280" s="14">
        <v>11.1</v>
      </c>
      <c r="D280" s="14">
        <v>10.9</v>
      </c>
      <c r="E280" s="14">
        <v>11.3</v>
      </c>
      <c r="F280" s="14">
        <v>9.6999999999999993</v>
      </c>
      <c r="G280" s="58">
        <f t="shared" si="14"/>
        <v>1.6000000000000014</v>
      </c>
      <c r="H280" s="58">
        <f t="shared" si="15"/>
        <v>10.649999999999999</v>
      </c>
      <c r="I280" s="60">
        <v>10.544166666666603</v>
      </c>
      <c r="J280" s="165">
        <v>11.3</v>
      </c>
      <c r="K280" s="14">
        <v>9.6999999999999993</v>
      </c>
      <c r="L280" s="50">
        <v>10.544166666666603</v>
      </c>
      <c r="M280" s="66">
        <v>100</v>
      </c>
      <c r="N280" s="24">
        <v>100</v>
      </c>
      <c r="O280" s="62">
        <v>100</v>
      </c>
      <c r="P280" s="377">
        <v>1010.95460229542</v>
      </c>
      <c r="Q280" s="21">
        <v>1007.98421677031</v>
      </c>
      <c r="R280" s="383">
        <v>1009.3844680377557</v>
      </c>
      <c r="S280" s="55">
        <v>3.70000000296</v>
      </c>
      <c r="T280" s="48">
        <v>1.940000001552</v>
      </c>
      <c r="U280" s="19">
        <v>1.0520880798090126</v>
      </c>
      <c r="V280" s="175" t="s">
        <v>210</v>
      </c>
      <c r="W280" s="197" t="s">
        <v>214</v>
      </c>
      <c r="X280" s="16">
        <v>6</v>
      </c>
      <c r="Y280" s="17">
        <v>8.8000000000000007</v>
      </c>
      <c r="Z280" s="18">
        <v>0</v>
      </c>
      <c r="AA280" s="394">
        <v>0</v>
      </c>
      <c r="AB280" s="260" t="s">
        <v>216</v>
      </c>
      <c r="AC280" s="200"/>
    </row>
    <row r="281" spans="1:29" s="20" customFormat="1" x14ac:dyDescent="0.3">
      <c r="A281" s="370">
        <v>45570</v>
      </c>
      <c r="B281" s="37">
        <v>10.9</v>
      </c>
      <c r="C281" s="14">
        <v>13.8</v>
      </c>
      <c r="D281" s="14">
        <v>11.8</v>
      </c>
      <c r="E281" s="14">
        <v>16.8</v>
      </c>
      <c r="F281" s="14">
        <v>10.6</v>
      </c>
      <c r="G281" s="50">
        <f t="shared" si="14"/>
        <v>6.2000000000000011</v>
      </c>
      <c r="H281" s="50">
        <f t="shared" si="15"/>
        <v>12.075000000000001</v>
      </c>
      <c r="I281" s="60">
        <v>11.935125698324095</v>
      </c>
      <c r="J281" s="165">
        <v>16</v>
      </c>
      <c r="K281" s="14">
        <v>10.6</v>
      </c>
      <c r="L281" s="50">
        <v>11.930726256983311</v>
      </c>
      <c r="M281" s="66">
        <v>100</v>
      </c>
      <c r="N281" s="24">
        <v>92.9</v>
      </c>
      <c r="O281" s="62">
        <v>99.972276536312847</v>
      </c>
      <c r="P281" s="377">
        <v>1011.87144985906</v>
      </c>
      <c r="Q281" s="21">
        <v>1009.8452690515099</v>
      </c>
      <c r="R281" s="383">
        <v>1011.060183531814</v>
      </c>
      <c r="S281" s="54">
        <v>2.7000000021599999</v>
      </c>
      <c r="T281" s="47">
        <v>1.6500000013199998</v>
      </c>
      <c r="U281" s="25">
        <v>0.56759826487469467</v>
      </c>
      <c r="V281" s="175" t="s">
        <v>210</v>
      </c>
      <c r="W281" s="197" t="s">
        <v>214</v>
      </c>
      <c r="X281" s="16">
        <v>12</v>
      </c>
      <c r="Y281" s="17">
        <v>1.4</v>
      </c>
      <c r="Z281" s="18">
        <v>0</v>
      </c>
      <c r="AA281" s="394">
        <v>0</v>
      </c>
      <c r="AB281" s="260" t="s">
        <v>216</v>
      </c>
      <c r="AC281" s="200"/>
    </row>
    <row r="282" spans="1:29" s="20" customFormat="1" x14ac:dyDescent="0.3">
      <c r="A282" s="370">
        <v>45571</v>
      </c>
      <c r="B282" s="37">
        <v>10.6</v>
      </c>
      <c r="C282" s="14">
        <v>14.2</v>
      </c>
      <c r="D282" s="14">
        <v>10.5</v>
      </c>
      <c r="E282" s="14">
        <v>14.4</v>
      </c>
      <c r="F282" s="14">
        <v>8.5</v>
      </c>
      <c r="G282" s="50">
        <f t="shared" si="14"/>
        <v>5.9</v>
      </c>
      <c r="H282" s="50">
        <f t="shared" si="15"/>
        <v>11.45</v>
      </c>
      <c r="I282" s="60">
        <v>11.808680555555553</v>
      </c>
      <c r="J282" s="165">
        <v>13.4</v>
      </c>
      <c r="K282" s="14">
        <v>8.3000000000000007</v>
      </c>
      <c r="L282" s="50">
        <v>10.974374999999958</v>
      </c>
      <c r="M282" s="66">
        <v>100</v>
      </c>
      <c r="N282" s="24">
        <v>85.7</v>
      </c>
      <c r="O282" s="62">
        <v>94.820277777777704</v>
      </c>
      <c r="P282" s="377">
        <v>1011.58216342089</v>
      </c>
      <c r="Q282" s="21">
        <v>1009.50666924157</v>
      </c>
      <c r="R282" s="383">
        <v>1010.4870813210325</v>
      </c>
      <c r="S282" s="54">
        <v>4.8000000038400001</v>
      </c>
      <c r="T282" s="47">
        <v>2.9100000023280002</v>
      </c>
      <c r="U282" s="25">
        <v>0.80662864449828053</v>
      </c>
      <c r="V282" s="175" t="s">
        <v>210</v>
      </c>
      <c r="W282" s="197"/>
      <c r="X282" s="16">
        <v>0</v>
      </c>
      <c r="Y282" s="17">
        <v>0</v>
      </c>
      <c r="Z282" s="18">
        <v>0</v>
      </c>
      <c r="AA282" s="394">
        <v>0</v>
      </c>
      <c r="AB282" s="260" t="s">
        <v>216</v>
      </c>
      <c r="AC282" s="200"/>
    </row>
    <row r="283" spans="1:29" s="20" customFormat="1" ht="28.8" x14ac:dyDescent="0.3">
      <c r="A283" s="370">
        <v>45572</v>
      </c>
      <c r="B283" s="37">
        <v>9.4</v>
      </c>
      <c r="C283" s="14">
        <v>17.2</v>
      </c>
      <c r="D283" s="14">
        <v>8.8000000000000007</v>
      </c>
      <c r="E283" s="14">
        <v>17.399999999999999</v>
      </c>
      <c r="F283" s="14">
        <v>8.1</v>
      </c>
      <c r="G283" s="50">
        <f t="shared" si="14"/>
        <v>9.2999999999999989</v>
      </c>
      <c r="H283" s="50">
        <f t="shared" si="15"/>
        <v>11.05</v>
      </c>
      <c r="I283" s="60">
        <v>11.75847222222222</v>
      </c>
      <c r="J283" s="165">
        <v>13.2</v>
      </c>
      <c r="K283" s="14">
        <v>7.8</v>
      </c>
      <c r="L283" s="50">
        <v>9.9935416666666921</v>
      </c>
      <c r="M283" s="66">
        <v>100</v>
      </c>
      <c r="N283" s="24">
        <v>66.400000000000006</v>
      </c>
      <c r="O283" s="62">
        <v>89.936874999999986</v>
      </c>
      <c r="P283" s="377">
        <v>1014.30192312084</v>
      </c>
      <c r="Q283" s="21">
        <v>1010.59188238919</v>
      </c>
      <c r="R283" s="383">
        <v>1012.0148335548832</v>
      </c>
      <c r="S283" s="54">
        <v>9.2000000073599999</v>
      </c>
      <c r="T283" s="47">
        <v>5.2700000042159996</v>
      </c>
      <c r="U283" s="25">
        <v>1.3909696980824648</v>
      </c>
      <c r="V283" s="175" t="s">
        <v>208</v>
      </c>
      <c r="W283" s="197"/>
      <c r="X283" s="16">
        <v>0</v>
      </c>
      <c r="Y283" s="17">
        <v>0</v>
      </c>
      <c r="Z283" s="18">
        <v>0</v>
      </c>
      <c r="AA283" s="394">
        <v>0</v>
      </c>
      <c r="AB283" s="260" t="s">
        <v>441</v>
      </c>
      <c r="AC283" s="200"/>
    </row>
    <row r="284" spans="1:29" s="20" customFormat="1" x14ac:dyDescent="0.3">
      <c r="A284" s="370">
        <v>45573</v>
      </c>
      <c r="B284" s="37">
        <v>10.7</v>
      </c>
      <c r="C284" s="14">
        <v>14.5</v>
      </c>
      <c r="D284" s="14">
        <v>14.7</v>
      </c>
      <c r="E284" s="14">
        <v>14.8</v>
      </c>
      <c r="F284" s="14">
        <v>7.9</v>
      </c>
      <c r="G284" s="50">
        <f t="shared" si="14"/>
        <v>6.9</v>
      </c>
      <c r="H284" s="50">
        <f t="shared" si="15"/>
        <v>13.649999999999999</v>
      </c>
      <c r="I284" s="60">
        <v>12.10931202223774</v>
      </c>
      <c r="J284" s="165">
        <v>12.8</v>
      </c>
      <c r="K284" s="14">
        <v>7.9</v>
      </c>
      <c r="L284" s="50">
        <v>10.846629603891667</v>
      </c>
      <c r="M284" s="66">
        <v>100</v>
      </c>
      <c r="N284" s="24">
        <v>82.2</v>
      </c>
      <c r="O284" s="62">
        <v>92.261292564280794</v>
      </c>
      <c r="P284" s="377">
        <v>1014.95783281892</v>
      </c>
      <c r="Q284" s="21">
        <v>1008.74415952966</v>
      </c>
      <c r="R284" s="383">
        <v>1012.9459791595614</v>
      </c>
      <c r="S284" s="54">
        <v>10.500000008400001</v>
      </c>
      <c r="T284" s="47">
        <v>6.3000000050400002</v>
      </c>
      <c r="U284" s="25">
        <v>2.5836378098508632</v>
      </c>
      <c r="V284" s="175" t="s">
        <v>208</v>
      </c>
      <c r="W284" s="197"/>
      <c r="X284" s="16">
        <v>0</v>
      </c>
      <c r="Y284" s="17">
        <v>0</v>
      </c>
      <c r="Z284" s="18">
        <v>0</v>
      </c>
      <c r="AA284" s="394">
        <v>0</v>
      </c>
      <c r="AB284" s="260" t="s">
        <v>252</v>
      </c>
      <c r="AC284" s="200"/>
    </row>
    <row r="285" spans="1:29" s="20" customFormat="1" x14ac:dyDescent="0.3">
      <c r="A285" s="370">
        <v>45574</v>
      </c>
      <c r="B285" s="37">
        <v>10.7</v>
      </c>
      <c r="C285" s="14">
        <v>16.100000000000001</v>
      </c>
      <c r="D285" s="14">
        <v>15.3</v>
      </c>
      <c r="E285" s="14">
        <v>16.5</v>
      </c>
      <c r="F285" s="14">
        <v>10.1</v>
      </c>
      <c r="G285" s="50">
        <f t="shared" si="14"/>
        <v>6.4</v>
      </c>
      <c r="H285" s="50">
        <f t="shared" si="15"/>
        <v>14.350000000000001</v>
      </c>
      <c r="I285" s="60">
        <v>14.129375000000019</v>
      </c>
      <c r="J285" s="165">
        <v>15.2</v>
      </c>
      <c r="K285" s="14">
        <v>9.6999999999999993</v>
      </c>
      <c r="L285" s="50">
        <v>12.797569444444484</v>
      </c>
      <c r="M285" s="66">
        <v>100</v>
      </c>
      <c r="N285" s="24">
        <v>80.400000000000006</v>
      </c>
      <c r="O285" s="62">
        <v>91.909722222222229</v>
      </c>
      <c r="P285" s="377">
        <v>1008.92415752608</v>
      </c>
      <c r="Q285" s="21">
        <v>1001.68940253779</v>
      </c>
      <c r="R285" s="383">
        <v>1004.7769549956241</v>
      </c>
      <c r="S285" s="54">
        <v>8.5000000068000006</v>
      </c>
      <c r="T285" s="47">
        <v>4.6300000037039997</v>
      </c>
      <c r="U285" s="25">
        <v>2.4371527797274983</v>
      </c>
      <c r="V285" s="175" t="s">
        <v>208</v>
      </c>
      <c r="W285" s="197"/>
      <c r="X285" s="16">
        <v>0</v>
      </c>
      <c r="Y285" s="17">
        <v>0</v>
      </c>
      <c r="Z285" s="18">
        <v>0</v>
      </c>
      <c r="AA285" s="394">
        <v>0</v>
      </c>
      <c r="AB285" s="260" t="s">
        <v>252</v>
      </c>
      <c r="AC285" s="200"/>
    </row>
    <row r="286" spans="1:29" s="20" customFormat="1" x14ac:dyDescent="0.3">
      <c r="A286" s="370">
        <v>45575</v>
      </c>
      <c r="B286" s="37">
        <v>15.1</v>
      </c>
      <c r="C286" s="14">
        <v>18.399999999999999</v>
      </c>
      <c r="D286" s="14">
        <v>13.7</v>
      </c>
      <c r="E286" s="14">
        <v>20.9</v>
      </c>
      <c r="F286" s="14">
        <v>12.9</v>
      </c>
      <c r="G286" s="50">
        <f t="shared" si="14"/>
        <v>7.9999999999999982</v>
      </c>
      <c r="H286" s="50">
        <f t="shared" si="15"/>
        <v>15.225</v>
      </c>
      <c r="I286" s="60">
        <v>15.822932592077857</v>
      </c>
      <c r="J286" s="165">
        <v>16.7</v>
      </c>
      <c r="K286" s="14">
        <v>12.4</v>
      </c>
      <c r="L286" s="50">
        <v>14.236900625434348</v>
      </c>
      <c r="M286" s="66">
        <v>100</v>
      </c>
      <c r="N286" s="24">
        <v>74.7</v>
      </c>
      <c r="O286" s="62">
        <v>90.706045865184151</v>
      </c>
      <c r="P286" s="377">
        <v>1002.06121637801</v>
      </c>
      <c r="Q286" s="21">
        <v>998.24250060972804</v>
      </c>
      <c r="R286" s="383">
        <v>999.80870777864766</v>
      </c>
      <c r="S286" s="54">
        <v>10.900000008719999</v>
      </c>
      <c r="T286" s="47">
        <v>6.5700000052560004</v>
      </c>
      <c r="U286" s="25">
        <v>3.3173611137649921</v>
      </c>
      <c r="V286" s="175" t="s">
        <v>208</v>
      </c>
      <c r="W286" s="197" t="s">
        <v>214</v>
      </c>
      <c r="X286" s="16">
        <v>54</v>
      </c>
      <c r="Y286" s="17">
        <v>11</v>
      </c>
      <c r="Z286" s="18">
        <v>0</v>
      </c>
      <c r="AA286" s="394">
        <v>0</v>
      </c>
      <c r="AB286" s="260" t="s">
        <v>252</v>
      </c>
      <c r="AC286" s="200"/>
    </row>
    <row r="287" spans="1:29" s="20" customFormat="1" x14ac:dyDescent="0.3">
      <c r="A287" s="370">
        <v>45576</v>
      </c>
      <c r="B287" s="37">
        <v>11.9</v>
      </c>
      <c r="C287" s="14">
        <v>13.1</v>
      </c>
      <c r="D287" s="14">
        <v>6.8</v>
      </c>
      <c r="E287" s="14">
        <v>14.5</v>
      </c>
      <c r="F287" s="14">
        <v>5.7</v>
      </c>
      <c r="G287" s="50">
        <f t="shared" si="14"/>
        <v>8.8000000000000007</v>
      </c>
      <c r="H287" s="50">
        <f t="shared" si="15"/>
        <v>9.65</v>
      </c>
      <c r="I287" s="60">
        <v>11.309722222222184</v>
      </c>
      <c r="J287" s="165">
        <v>14.5</v>
      </c>
      <c r="K287" s="14">
        <v>5.4</v>
      </c>
      <c r="L287" s="50">
        <v>10.878194444444421</v>
      </c>
      <c r="M287" s="66">
        <v>100</v>
      </c>
      <c r="N287" s="24">
        <v>83.7</v>
      </c>
      <c r="O287" s="62">
        <v>97.247986111111089</v>
      </c>
      <c r="P287" s="377">
        <v>1017.9686692993</v>
      </c>
      <c r="Q287" s="21">
        <v>1001.83253583461</v>
      </c>
      <c r="R287" s="383">
        <v>1009.4150644139818</v>
      </c>
      <c r="S287" s="54">
        <v>6.10000000488</v>
      </c>
      <c r="T287" s="47">
        <v>2.890000002312</v>
      </c>
      <c r="U287" s="25">
        <v>0.89298245685473743</v>
      </c>
      <c r="V287" s="175" t="s">
        <v>209</v>
      </c>
      <c r="W287" s="197"/>
      <c r="X287" s="16">
        <v>0</v>
      </c>
      <c r="Y287" s="17">
        <v>0</v>
      </c>
      <c r="Z287" s="18">
        <v>0</v>
      </c>
      <c r="AA287" s="394">
        <v>0</v>
      </c>
      <c r="AB287" s="260" t="s">
        <v>442</v>
      </c>
      <c r="AC287" s="200"/>
    </row>
    <row r="288" spans="1:29" s="20" customFormat="1" x14ac:dyDescent="0.3">
      <c r="A288" s="370">
        <v>45577</v>
      </c>
      <c r="B288" s="37">
        <v>6.3</v>
      </c>
      <c r="C288" s="14">
        <v>15.1</v>
      </c>
      <c r="D288" s="14">
        <v>4.0999999999999996</v>
      </c>
      <c r="E288" s="14">
        <v>15.9</v>
      </c>
      <c r="F288" s="14">
        <v>1.6</v>
      </c>
      <c r="G288" s="50">
        <f t="shared" si="14"/>
        <v>14.3</v>
      </c>
      <c r="H288" s="50">
        <f t="shared" si="15"/>
        <v>7.3999999999999995</v>
      </c>
      <c r="I288" s="60">
        <v>8.991805555555592</v>
      </c>
      <c r="J288" s="165">
        <v>10.4</v>
      </c>
      <c r="K288" s="14">
        <v>1.1000000000000001</v>
      </c>
      <c r="L288" s="50">
        <v>6.8324305555555789</v>
      </c>
      <c r="M288" s="66">
        <v>100</v>
      </c>
      <c r="N288" s="24">
        <v>63.6</v>
      </c>
      <c r="O288" s="62">
        <v>87.404375000000002</v>
      </c>
      <c r="P288" s="377">
        <v>1020.7796318378701</v>
      </c>
      <c r="Q288" s="21">
        <v>1017.82365888537</v>
      </c>
      <c r="R288" s="383">
        <v>1019.6007202878113</v>
      </c>
      <c r="S288" s="54">
        <v>5.10000000408</v>
      </c>
      <c r="T288" s="47">
        <v>2.960000002368</v>
      </c>
      <c r="U288" s="25">
        <v>1.0493055563950018</v>
      </c>
      <c r="V288" s="175" t="s">
        <v>209</v>
      </c>
      <c r="W288" s="197"/>
      <c r="X288" s="16">
        <v>0</v>
      </c>
      <c r="Y288" s="17">
        <v>0</v>
      </c>
      <c r="Z288" s="18">
        <v>0</v>
      </c>
      <c r="AA288" s="394">
        <v>0</v>
      </c>
      <c r="AB288" s="260" t="s">
        <v>265</v>
      </c>
      <c r="AC288" s="200"/>
    </row>
    <row r="289" spans="1:29" s="20" customFormat="1" x14ac:dyDescent="0.3">
      <c r="A289" s="370">
        <v>45578</v>
      </c>
      <c r="B289" s="37">
        <v>3.9</v>
      </c>
      <c r="C289" s="14">
        <v>12.9</v>
      </c>
      <c r="D289" s="14">
        <v>8.4</v>
      </c>
      <c r="E289" s="14">
        <v>13.4</v>
      </c>
      <c r="F289" s="14">
        <v>1.7</v>
      </c>
      <c r="G289" s="50">
        <f t="shared" si="14"/>
        <v>11.700000000000001</v>
      </c>
      <c r="H289" s="50">
        <f t="shared" si="15"/>
        <v>8.4</v>
      </c>
      <c r="I289" s="60">
        <v>8.1963863794301748</v>
      </c>
      <c r="J289" s="165">
        <v>10.6</v>
      </c>
      <c r="K289" s="14">
        <v>1.4</v>
      </c>
      <c r="L289" s="50">
        <v>6.5902015288394722</v>
      </c>
      <c r="M289" s="66">
        <v>100</v>
      </c>
      <c r="N289" s="24">
        <v>77.400000000000006</v>
      </c>
      <c r="O289" s="62">
        <v>90.174565670604494</v>
      </c>
      <c r="P289" s="377">
        <v>1018.9827694459</v>
      </c>
      <c r="Q289" s="21">
        <v>1010.3737663680899</v>
      </c>
      <c r="R289" s="383">
        <v>1014.1753799833442</v>
      </c>
      <c r="S289" s="54">
        <v>11.20000000896</v>
      </c>
      <c r="T289" s="47">
        <v>5.9500000047599997</v>
      </c>
      <c r="U289" s="25">
        <v>1.5398051508490944</v>
      </c>
      <c r="V289" s="175" t="s">
        <v>208</v>
      </c>
      <c r="W289" s="198"/>
      <c r="X289" s="26">
        <v>0</v>
      </c>
      <c r="Y289" s="27">
        <v>0</v>
      </c>
      <c r="Z289" s="28">
        <v>0</v>
      </c>
      <c r="AA289" s="396">
        <v>0</v>
      </c>
      <c r="AB289" s="261" t="s">
        <v>260</v>
      </c>
      <c r="AC289" s="200"/>
    </row>
    <row r="290" spans="1:29" s="20" customFormat="1" x14ac:dyDescent="0.3">
      <c r="A290" s="370">
        <v>45579</v>
      </c>
      <c r="B290" s="37">
        <v>1.7</v>
      </c>
      <c r="C290" s="14">
        <v>14.9</v>
      </c>
      <c r="D290" s="14">
        <v>3.6</v>
      </c>
      <c r="E290" s="14">
        <v>15.2</v>
      </c>
      <c r="F290" s="14">
        <v>1.1000000000000001</v>
      </c>
      <c r="G290" s="50">
        <f t="shared" si="14"/>
        <v>14.1</v>
      </c>
      <c r="H290" s="50">
        <f t="shared" si="15"/>
        <v>5.95</v>
      </c>
      <c r="I290" s="60">
        <v>7.0084027777778211</v>
      </c>
      <c r="J290" s="165">
        <v>8.9</v>
      </c>
      <c r="K290" s="14">
        <v>1.1000000000000001</v>
      </c>
      <c r="L290" s="50">
        <v>4.3260416666666712</v>
      </c>
      <c r="M290" s="66">
        <v>100</v>
      </c>
      <c r="N290" s="24">
        <v>55.2</v>
      </c>
      <c r="O290" s="62">
        <v>85.171944444444506</v>
      </c>
      <c r="P290" s="377">
        <v>1019.09953203393</v>
      </c>
      <c r="Q290" s="21">
        <v>1014.92330514343</v>
      </c>
      <c r="R290" s="383">
        <v>1017.3084607199287</v>
      </c>
      <c r="S290" s="54">
        <v>6.8000000054400003</v>
      </c>
      <c r="T290" s="47">
        <v>3.8833333364399998</v>
      </c>
      <c r="U290" s="25">
        <v>1.2159038911329207</v>
      </c>
      <c r="V290" s="175" t="s">
        <v>209</v>
      </c>
      <c r="W290" s="198" t="s">
        <v>214</v>
      </c>
      <c r="X290" s="26">
        <v>60</v>
      </c>
      <c r="Y290" s="27">
        <v>2.5</v>
      </c>
      <c r="Z290" s="28">
        <v>0</v>
      </c>
      <c r="AA290" s="396">
        <v>0</v>
      </c>
      <c r="AB290" s="261" t="s">
        <v>265</v>
      </c>
      <c r="AC290" s="200"/>
    </row>
    <row r="291" spans="1:29" s="20" customFormat="1" x14ac:dyDescent="0.3">
      <c r="A291" s="370">
        <v>45580</v>
      </c>
      <c r="B291" s="37">
        <v>4.4000000000000004</v>
      </c>
      <c r="C291" s="14">
        <v>14</v>
      </c>
      <c r="D291" s="14">
        <v>5.3</v>
      </c>
      <c r="E291" s="14">
        <v>14.4</v>
      </c>
      <c r="F291" s="14">
        <v>1.9</v>
      </c>
      <c r="G291" s="50">
        <f t="shared" si="14"/>
        <v>12.5</v>
      </c>
      <c r="H291" s="50">
        <f t="shared" si="15"/>
        <v>7.25</v>
      </c>
      <c r="I291" s="60">
        <v>6.7945833333333425</v>
      </c>
      <c r="J291" s="165">
        <v>10.7</v>
      </c>
      <c r="K291" s="14">
        <v>1.5</v>
      </c>
      <c r="L291" s="50">
        <v>5.4652777777777715</v>
      </c>
      <c r="M291" s="66">
        <v>100</v>
      </c>
      <c r="N291" s="24">
        <v>69.8</v>
      </c>
      <c r="O291" s="62">
        <v>92.016805555555479</v>
      </c>
      <c r="P291" s="377">
        <v>1027.70212078791</v>
      </c>
      <c r="Q291" s="21">
        <v>1017.99054730358</v>
      </c>
      <c r="R291" s="383">
        <v>1022.0849035532985</v>
      </c>
      <c r="S291" s="54">
        <v>7.8000000062400003</v>
      </c>
      <c r="T291" s="47">
        <v>3.8666666697599998</v>
      </c>
      <c r="U291" s="25">
        <v>0.81831635194043884</v>
      </c>
      <c r="V291" s="175" t="s">
        <v>209</v>
      </c>
      <c r="W291" s="198"/>
      <c r="X291" s="26">
        <v>0</v>
      </c>
      <c r="Y291" s="27">
        <v>0</v>
      </c>
      <c r="Z291" s="28">
        <v>0</v>
      </c>
      <c r="AA291" s="396">
        <v>0</v>
      </c>
      <c r="AB291" s="261" t="s">
        <v>442</v>
      </c>
      <c r="AC291" s="200"/>
    </row>
    <row r="292" spans="1:29" s="20" customFormat="1" x14ac:dyDescent="0.3">
      <c r="A292" s="370">
        <v>45581</v>
      </c>
      <c r="B292" s="37">
        <v>3</v>
      </c>
      <c r="C292" s="14">
        <v>14.9</v>
      </c>
      <c r="D292" s="14">
        <v>2.8</v>
      </c>
      <c r="E292" s="14">
        <v>16.399999999999999</v>
      </c>
      <c r="F292" s="14">
        <v>0</v>
      </c>
      <c r="G292" s="50">
        <f t="shared" si="14"/>
        <v>16.399999999999999</v>
      </c>
      <c r="H292" s="50">
        <f t="shared" si="15"/>
        <v>5.875</v>
      </c>
      <c r="I292" s="60">
        <v>6.4998610145934705</v>
      </c>
      <c r="J292" s="165">
        <v>9.9</v>
      </c>
      <c r="K292" s="14">
        <v>-0.8</v>
      </c>
      <c r="L292" s="50">
        <v>4.3336344683808088</v>
      </c>
      <c r="M292" s="66">
        <v>100</v>
      </c>
      <c r="N292" s="24">
        <v>58.5</v>
      </c>
      <c r="O292" s="62">
        <v>87.644614315496796</v>
      </c>
      <c r="P292" s="377">
        <v>1031.0074700211401</v>
      </c>
      <c r="Q292" s="21">
        <v>1027.10193088399</v>
      </c>
      <c r="R292" s="383">
        <v>1028.8911912945123</v>
      </c>
      <c r="S292" s="54">
        <v>4.1000000032799999</v>
      </c>
      <c r="T292" s="47">
        <v>2.0766666683279995</v>
      </c>
      <c r="U292" s="25">
        <v>0.39831881986389051</v>
      </c>
      <c r="V292" s="175" t="s">
        <v>209</v>
      </c>
      <c r="W292" s="198"/>
      <c r="X292" s="26">
        <v>0</v>
      </c>
      <c r="Y292" s="27">
        <v>0</v>
      </c>
      <c r="Z292" s="28">
        <v>0</v>
      </c>
      <c r="AA292" s="396">
        <v>0</v>
      </c>
      <c r="AB292" s="261" t="s">
        <v>285</v>
      </c>
      <c r="AC292" s="200"/>
    </row>
    <row r="293" spans="1:29" s="20" customFormat="1" x14ac:dyDescent="0.3">
      <c r="A293" s="370">
        <v>45582</v>
      </c>
      <c r="B293" s="37">
        <v>0.8</v>
      </c>
      <c r="C293" s="14">
        <v>13.9</v>
      </c>
      <c r="D293" s="14">
        <v>1.5</v>
      </c>
      <c r="E293" s="14">
        <v>14.4</v>
      </c>
      <c r="F293" s="14">
        <v>-0.7</v>
      </c>
      <c r="G293" s="50">
        <f t="shared" si="14"/>
        <v>15.1</v>
      </c>
      <c r="H293" s="50">
        <f t="shared" si="15"/>
        <v>4.4250000000000007</v>
      </c>
      <c r="I293" s="60">
        <v>4.7589583333333341</v>
      </c>
      <c r="J293" s="165">
        <v>8.3000000000000007</v>
      </c>
      <c r="K293" s="14">
        <v>-1.3</v>
      </c>
      <c r="L293" s="50">
        <v>2.5645138888888925</v>
      </c>
      <c r="M293" s="66">
        <v>100</v>
      </c>
      <c r="N293" s="24">
        <v>57</v>
      </c>
      <c r="O293" s="62">
        <v>87.676180555555518</v>
      </c>
      <c r="P293" s="377">
        <v>1031.2286009317399</v>
      </c>
      <c r="Q293" s="21">
        <v>1026.5991641590499</v>
      </c>
      <c r="R293" s="383">
        <v>1029.2590127973508</v>
      </c>
      <c r="S293" s="54">
        <v>7.8000000062400003</v>
      </c>
      <c r="T293" s="47">
        <v>5.0066666706719989</v>
      </c>
      <c r="U293" s="25">
        <v>0.87864394559051828</v>
      </c>
      <c r="V293" s="175" t="s">
        <v>209</v>
      </c>
      <c r="W293" s="198" t="s">
        <v>443</v>
      </c>
      <c r="X293" s="26">
        <v>0</v>
      </c>
      <c r="Y293" s="27">
        <v>0.1</v>
      </c>
      <c r="Z293" s="28">
        <v>0</v>
      </c>
      <c r="AA293" s="396">
        <v>0</v>
      </c>
      <c r="AB293" s="261" t="s">
        <v>408</v>
      </c>
      <c r="AC293" s="200"/>
    </row>
    <row r="294" spans="1:29" s="20" customFormat="1" x14ac:dyDescent="0.3">
      <c r="A294" s="370">
        <v>45583</v>
      </c>
      <c r="B294" s="37">
        <v>-0.3</v>
      </c>
      <c r="C294" s="14">
        <v>15.4</v>
      </c>
      <c r="D294" s="14">
        <v>1.1000000000000001</v>
      </c>
      <c r="E294" s="14">
        <v>16.2</v>
      </c>
      <c r="F294" s="14">
        <v>-1.3</v>
      </c>
      <c r="G294" s="50">
        <f t="shared" si="14"/>
        <v>17.5</v>
      </c>
      <c r="H294" s="50">
        <f t="shared" si="15"/>
        <v>4.3250000000000002</v>
      </c>
      <c r="I294" s="60">
        <v>4.4672916666666662</v>
      </c>
      <c r="J294" s="165">
        <v>7.7</v>
      </c>
      <c r="K294" s="14">
        <v>-2.2000000000000002</v>
      </c>
      <c r="L294" s="50">
        <v>1.6312500000000039</v>
      </c>
      <c r="M294" s="66">
        <v>100</v>
      </c>
      <c r="N294" s="24">
        <v>44.2</v>
      </c>
      <c r="O294" s="62">
        <v>84.990000000000052</v>
      </c>
      <c r="P294" s="377">
        <v>1029.00400221376</v>
      </c>
      <c r="Q294" s="21">
        <v>1022.63657557434</v>
      </c>
      <c r="R294" s="383">
        <v>1025.7625140226835</v>
      </c>
      <c r="S294" s="54">
        <v>5.8000000046400002</v>
      </c>
      <c r="T294" s="47">
        <v>3.4366666694160002</v>
      </c>
      <c r="U294" s="25">
        <v>0.59144339897664411</v>
      </c>
      <c r="V294" s="175" t="s">
        <v>209</v>
      </c>
      <c r="W294" s="198"/>
      <c r="X294" s="26">
        <v>0</v>
      </c>
      <c r="Y294" s="27">
        <v>0</v>
      </c>
      <c r="Z294" s="28">
        <v>0</v>
      </c>
      <c r="AA294" s="396">
        <v>0</v>
      </c>
      <c r="AB294" s="261" t="s">
        <v>408</v>
      </c>
      <c r="AC294" s="200"/>
    </row>
    <row r="295" spans="1:29" s="20" customFormat="1" x14ac:dyDescent="0.3">
      <c r="A295" s="370">
        <v>45584</v>
      </c>
      <c r="B295" s="37">
        <v>-2.2000000000000002</v>
      </c>
      <c r="C295" s="14">
        <v>15.6</v>
      </c>
      <c r="D295" s="14">
        <v>1.8</v>
      </c>
      <c r="E295" s="14">
        <v>16.399999999999999</v>
      </c>
      <c r="F295" s="14">
        <v>-2.5</v>
      </c>
      <c r="G295" s="50">
        <f t="shared" si="14"/>
        <v>18.899999999999999</v>
      </c>
      <c r="H295" s="50">
        <f t="shared" si="15"/>
        <v>4.25</v>
      </c>
      <c r="I295" s="60">
        <v>4.3922168172341847</v>
      </c>
      <c r="J295" s="165">
        <v>8.5</v>
      </c>
      <c r="K295" s="14">
        <v>-3.3</v>
      </c>
      <c r="L295" s="50">
        <v>1.5609451007644231</v>
      </c>
      <c r="M295" s="66">
        <v>100</v>
      </c>
      <c r="N295" s="24">
        <v>53.4</v>
      </c>
      <c r="O295" s="62">
        <v>84.166712995135441</v>
      </c>
      <c r="P295" s="377">
        <v>1028.65782378155</v>
      </c>
      <c r="Q295" s="21">
        <v>1023.69352003966</v>
      </c>
      <c r="R295" s="383">
        <v>1025.5901205153209</v>
      </c>
      <c r="S295" s="54">
        <v>4.1000000032799999</v>
      </c>
      <c r="T295" s="47">
        <v>2.4883333353239996</v>
      </c>
      <c r="U295" s="25">
        <v>0.5907069975571041</v>
      </c>
      <c r="V295" s="175" t="s">
        <v>209</v>
      </c>
      <c r="W295" s="198" t="s">
        <v>443</v>
      </c>
      <c r="X295" s="26">
        <v>0</v>
      </c>
      <c r="Y295" s="27">
        <v>0.2</v>
      </c>
      <c r="Z295" s="28">
        <v>0</v>
      </c>
      <c r="AA295" s="396">
        <v>0</v>
      </c>
      <c r="AB295" s="261" t="s">
        <v>402</v>
      </c>
      <c r="AC295" s="200"/>
    </row>
    <row r="296" spans="1:29" s="20" customFormat="1" x14ac:dyDescent="0.3">
      <c r="A296" s="370">
        <v>45585</v>
      </c>
      <c r="B296" s="37">
        <v>-0.2</v>
      </c>
      <c r="C296" s="14">
        <v>15.6</v>
      </c>
      <c r="D296" s="14">
        <v>2.7</v>
      </c>
      <c r="E296" s="14">
        <v>16.100000000000001</v>
      </c>
      <c r="F296" s="14">
        <v>-1.1000000000000001</v>
      </c>
      <c r="G296" s="50">
        <f t="shared" si="14"/>
        <v>17.200000000000003</v>
      </c>
      <c r="H296" s="50">
        <f t="shared" si="15"/>
        <v>5.2</v>
      </c>
      <c r="I296" s="60">
        <v>4.6772222222222224</v>
      </c>
      <c r="J296" s="165">
        <v>9.4</v>
      </c>
      <c r="K296" s="14">
        <v>-1.7</v>
      </c>
      <c r="L296" s="50">
        <v>2.6405555555555589</v>
      </c>
      <c r="M296" s="66">
        <v>100</v>
      </c>
      <c r="N296" s="24">
        <v>53.7</v>
      </c>
      <c r="O296" s="62">
        <v>88.498194444444465</v>
      </c>
      <c r="P296" s="377">
        <v>1031.65229819608</v>
      </c>
      <c r="Q296" s="21">
        <v>1028.06034528996</v>
      </c>
      <c r="R296" s="383">
        <v>1029.7343755430247</v>
      </c>
      <c r="S296" s="54">
        <v>4.8000000038400001</v>
      </c>
      <c r="T296" s="47">
        <v>2.8733333356319997</v>
      </c>
      <c r="U296" s="25">
        <v>0.63611312596211345</v>
      </c>
      <c r="V296" s="175" t="s">
        <v>209</v>
      </c>
      <c r="W296" s="198" t="s">
        <v>443</v>
      </c>
      <c r="X296" s="26">
        <v>0</v>
      </c>
      <c r="Y296" s="27">
        <v>0.1</v>
      </c>
      <c r="Z296" s="28">
        <v>0</v>
      </c>
      <c r="AA296" s="396">
        <v>0</v>
      </c>
      <c r="AB296" s="261" t="s">
        <v>408</v>
      </c>
      <c r="AC296" s="200"/>
    </row>
    <row r="297" spans="1:29" s="20" customFormat="1" x14ac:dyDescent="0.3">
      <c r="A297" s="370">
        <v>45586</v>
      </c>
      <c r="B297" s="37">
        <v>0</v>
      </c>
      <c r="C297" s="14">
        <v>15.2</v>
      </c>
      <c r="D297" s="14">
        <v>3.2</v>
      </c>
      <c r="E297" s="14">
        <v>15.7</v>
      </c>
      <c r="F297" s="14">
        <v>-0.3</v>
      </c>
      <c r="G297" s="50">
        <f t="shared" si="14"/>
        <v>16</v>
      </c>
      <c r="H297" s="50">
        <f t="shared" si="15"/>
        <v>5.4</v>
      </c>
      <c r="I297" s="60">
        <v>5.6070187630298891</v>
      </c>
      <c r="J297" s="165">
        <v>9.9</v>
      </c>
      <c r="K297" s="14">
        <v>-1</v>
      </c>
      <c r="L297" s="50">
        <v>3.4839471855455186</v>
      </c>
      <c r="M297" s="66">
        <v>100</v>
      </c>
      <c r="N297" s="24">
        <v>59.9</v>
      </c>
      <c r="O297" s="62">
        <v>87.853300903405142</v>
      </c>
      <c r="P297" s="377">
        <v>1033.1223917061</v>
      </c>
      <c r="Q297" s="21">
        <v>1029.5576276731499</v>
      </c>
      <c r="R297" s="383">
        <v>1031.324376470174</v>
      </c>
      <c r="S297" s="54">
        <v>7.5000000059999996</v>
      </c>
      <c r="T297" s="47">
        <v>5.2900000042320006</v>
      </c>
      <c r="U297" s="25">
        <v>0.92796323247918888</v>
      </c>
      <c r="V297" s="175" t="s">
        <v>209</v>
      </c>
      <c r="W297" s="198" t="s">
        <v>443</v>
      </c>
      <c r="X297" s="26">
        <v>0</v>
      </c>
      <c r="Y297" s="27">
        <v>0.1</v>
      </c>
      <c r="Z297" s="28">
        <v>0</v>
      </c>
      <c r="AA297" s="396">
        <v>0</v>
      </c>
      <c r="AB297" s="261" t="s">
        <v>408</v>
      </c>
      <c r="AC297" s="200"/>
    </row>
    <row r="298" spans="1:29" s="20" customFormat="1" x14ac:dyDescent="0.3">
      <c r="A298" s="370">
        <v>45587</v>
      </c>
      <c r="B298" s="37">
        <v>0.4</v>
      </c>
      <c r="C298" s="14">
        <v>15.4</v>
      </c>
      <c r="D298" s="14">
        <v>4.8</v>
      </c>
      <c r="E298" s="14">
        <v>15.7</v>
      </c>
      <c r="F298" s="14">
        <v>0.4</v>
      </c>
      <c r="G298" s="50">
        <f t="shared" si="14"/>
        <v>15.299999999999999</v>
      </c>
      <c r="H298" s="50">
        <f t="shared" si="15"/>
        <v>6.35</v>
      </c>
      <c r="I298" s="60">
        <v>6.3033333333333292</v>
      </c>
      <c r="J298" s="165">
        <v>10</v>
      </c>
      <c r="K298" s="14">
        <v>-0.4</v>
      </c>
      <c r="L298" s="50">
        <v>4.3325000000000076</v>
      </c>
      <c r="M298" s="66">
        <v>100</v>
      </c>
      <c r="N298" s="24">
        <v>64</v>
      </c>
      <c r="O298" s="62">
        <v>88.656249999999872</v>
      </c>
      <c r="P298" s="377">
        <v>1031.59495120567</v>
      </c>
      <c r="Q298" s="21">
        <v>1026.36163197218</v>
      </c>
      <c r="R298" s="383">
        <v>1029.3830856216346</v>
      </c>
      <c r="S298" s="54">
        <v>6.10000000488</v>
      </c>
      <c r="T298" s="47">
        <v>3.6333333362399998</v>
      </c>
      <c r="U298" s="25">
        <v>0.79122934951539503</v>
      </c>
      <c r="V298" s="175" t="s">
        <v>209</v>
      </c>
      <c r="W298" s="198"/>
      <c r="X298" s="26">
        <v>0</v>
      </c>
      <c r="Y298" s="27">
        <v>0</v>
      </c>
      <c r="Z298" s="28">
        <v>0</v>
      </c>
      <c r="AA298" s="396">
        <v>0</v>
      </c>
      <c r="AB298" s="261" t="s">
        <v>402</v>
      </c>
      <c r="AC298" s="200"/>
    </row>
    <row r="299" spans="1:29" s="20" customFormat="1" x14ac:dyDescent="0.3">
      <c r="A299" s="370">
        <v>45588</v>
      </c>
      <c r="B299" s="37">
        <v>6.7</v>
      </c>
      <c r="C299" s="14">
        <v>15.1</v>
      </c>
      <c r="D299" s="14">
        <v>4.8</v>
      </c>
      <c r="E299" s="14">
        <v>16.5</v>
      </c>
      <c r="F299" s="14">
        <v>1.5</v>
      </c>
      <c r="G299" s="50">
        <f t="shared" si="14"/>
        <v>15</v>
      </c>
      <c r="H299" s="50">
        <f t="shared" si="15"/>
        <v>7.85</v>
      </c>
      <c r="I299" s="60">
        <v>7.9993749999999926</v>
      </c>
      <c r="J299" s="165">
        <v>11.9</v>
      </c>
      <c r="K299" s="14">
        <v>0.7</v>
      </c>
      <c r="L299" s="50">
        <v>6.6609722222221999</v>
      </c>
      <c r="M299" s="66">
        <v>100</v>
      </c>
      <c r="N299" s="24">
        <v>68.400000000000006</v>
      </c>
      <c r="O299" s="62">
        <v>91.906111111111159</v>
      </c>
      <c r="P299" s="377">
        <v>1035.6902389166</v>
      </c>
      <c r="Q299" s="21">
        <v>1030.5632983779701</v>
      </c>
      <c r="R299" s="383">
        <v>1033.0700101028472</v>
      </c>
      <c r="S299" s="54">
        <v>6.8000000054400003</v>
      </c>
      <c r="T299" s="47">
        <v>3.5833333361999999</v>
      </c>
      <c r="U299" s="25">
        <v>0.5955272732036887</v>
      </c>
      <c r="V299" s="175" t="s">
        <v>209</v>
      </c>
      <c r="W299" s="198"/>
      <c r="X299" s="26">
        <v>0</v>
      </c>
      <c r="Y299" s="27">
        <v>0</v>
      </c>
      <c r="Z299" s="28">
        <v>0</v>
      </c>
      <c r="AA299" s="396">
        <v>0</v>
      </c>
      <c r="AB299" s="261" t="s">
        <v>261</v>
      </c>
      <c r="AC299" s="200"/>
    </row>
    <row r="300" spans="1:29" s="20" customFormat="1" x14ac:dyDescent="0.3">
      <c r="A300" s="370">
        <v>45589</v>
      </c>
      <c r="B300" s="37">
        <v>-0.2</v>
      </c>
      <c r="C300" s="14">
        <v>17.100000000000001</v>
      </c>
      <c r="D300" s="14">
        <v>2.5</v>
      </c>
      <c r="E300" s="14">
        <v>18.100000000000001</v>
      </c>
      <c r="F300" s="14">
        <v>-0.6</v>
      </c>
      <c r="G300" s="50">
        <f t="shared" si="14"/>
        <v>18.700000000000003</v>
      </c>
      <c r="H300" s="50">
        <f t="shared" si="15"/>
        <v>5.4750000000000005</v>
      </c>
      <c r="I300" s="60">
        <v>6.181445448227934</v>
      </c>
      <c r="J300" s="165">
        <v>11.2</v>
      </c>
      <c r="K300" s="14">
        <v>-1.1000000000000001</v>
      </c>
      <c r="L300" s="50">
        <v>3.8261292564280764</v>
      </c>
      <c r="M300" s="66">
        <v>100</v>
      </c>
      <c r="N300" s="24">
        <v>59</v>
      </c>
      <c r="O300" s="62">
        <v>86.547046560111198</v>
      </c>
      <c r="P300" s="377">
        <v>1035.6379484674501</v>
      </c>
      <c r="Q300" s="21">
        <v>1030.0659652546001</v>
      </c>
      <c r="R300" s="383">
        <v>1032.8367656716962</v>
      </c>
      <c r="S300" s="54">
        <v>3.1000000024799998</v>
      </c>
      <c r="T300" s="47">
        <v>1.7433333347279998</v>
      </c>
      <c r="U300" s="25">
        <v>0.39549648004448656</v>
      </c>
      <c r="V300" s="175" t="s">
        <v>209</v>
      </c>
      <c r="W300" s="198" t="s">
        <v>443</v>
      </c>
      <c r="X300" s="26">
        <v>0</v>
      </c>
      <c r="Y300" s="27">
        <v>0.2</v>
      </c>
      <c r="Z300" s="28">
        <v>0</v>
      </c>
      <c r="AA300" s="396">
        <v>0</v>
      </c>
      <c r="AB300" s="261" t="s">
        <v>402</v>
      </c>
      <c r="AC300" s="200"/>
    </row>
    <row r="301" spans="1:29" s="20" customFormat="1" x14ac:dyDescent="0.3">
      <c r="A301" s="370">
        <v>45590</v>
      </c>
      <c r="B301" s="37">
        <v>0.4</v>
      </c>
      <c r="C301" s="14">
        <v>15.8</v>
      </c>
      <c r="D301" s="14">
        <v>5</v>
      </c>
      <c r="E301" s="14">
        <v>17.100000000000001</v>
      </c>
      <c r="F301" s="14">
        <v>0</v>
      </c>
      <c r="G301" s="50">
        <f t="shared" si="14"/>
        <v>17.100000000000001</v>
      </c>
      <c r="H301" s="50">
        <f t="shared" si="15"/>
        <v>6.55</v>
      </c>
      <c r="I301" s="60">
        <v>5.6165277777777618</v>
      </c>
      <c r="J301" s="165">
        <v>11.9</v>
      </c>
      <c r="K301" s="14">
        <v>-0.5</v>
      </c>
      <c r="L301" s="50">
        <v>4.3134722222222308</v>
      </c>
      <c r="M301" s="66">
        <v>100</v>
      </c>
      <c r="N301" s="24">
        <v>68.400000000000006</v>
      </c>
      <c r="O301" s="62">
        <v>92.304375000000093</v>
      </c>
      <c r="P301" s="377">
        <v>1031.0918216950499</v>
      </c>
      <c r="Q301" s="21">
        <v>1024.5819840858701</v>
      </c>
      <c r="R301" s="383">
        <v>1027.7358441938522</v>
      </c>
      <c r="S301" s="54">
        <v>5.10000000408</v>
      </c>
      <c r="T301" s="47">
        <v>2.8400000022720002</v>
      </c>
      <c r="U301" s="25">
        <v>0.5836843383996464</v>
      </c>
      <c r="V301" s="175" t="s">
        <v>209</v>
      </c>
      <c r="W301" s="198"/>
      <c r="X301" s="26">
        <v>0</v>
      </c>
      <c r="Y301" s="27">
        <v>0</v>
      </c>
      <c r="Z301" s="28">
        <v>0</v>
      </c>
      <c r="AA301" s="396">
        <v>0</v>
      </c>
      <c r="AB301" s="261" t="s">
        <v>257</v>
      </c>
      <c r="AC301" s="200"/>
    </row>
    <row r="302" spans="1:29" s="20" customFormat="1" x14ac:dyDescent="0.3">
      <c r="A302" s="370">
        <v>45591</v>
      </c>
      <c r="B302" s="37">
        <v>3.2</v>
      </c>
      <c r="C302" s="14">
        <v>16.5</v>
      </c>
      <c r="D302" s="14">
        <v>10.4</v>
      </c>
      <c r="E302" s="14">
        <v>16.7</v>
      </c>
      <c r="F302" s="14">
        <v>3</v>
      </c>
      <c r="G302" s="50">
        <f t="shared" si="14"/>
        <v>13.7</v>
      </c>
      <c r="H302" s="50">
        <f t="shared" si="15"/>
        <v>10.125</v>
      </c>
      <c r="I302" s="60">
        <v>8.7750000000000394</v>
      </c>
      <c r="J302" s="165">
        <v>12.1</v>
      </c>
      <c r="K302" s="14">
        <v>2.9</v>
      </c>
      <c r="L302" s="50">
        <v>7.4573611111111076</v>
      </c>
      <c r="M302" s="66">
        <v>100</v>
      </c>
      <c r="N302" s="24">
        <v>70.2</v>
      </c>
      <c r="O302" s="62">
        <v>92.24944444444462</v>
      </c>
      <c r="P302" s="377">
        <v>1026.6739014198599</v>
      </c>
      <c r="Q302" s="21">
        <v>1022.52639513136</v>
      </c>
      <c r="R302" s="383">
        <v>1024.6885975634877</v>
      </c>
      <c r="S302" s="54">
        <v>4.8000000038400001</v>
      </c>
      <c r="T302" s="47">
        <v>2.9633333357040001</v>
      </c>
      <c r="U302" s="25">
        <v>0.53232360139908752</v>
      </c>
      <c r="V302" s="175" t="s">
        <v>209</v>
      </c>
      <c r="W302" s="198"/>
      <c r="X302" s="26">
        <v>0</v>
      </c>
      <c r="Y302" s="27">
        <v>0</v>
      </c>
      <c r="Z302" s="28">
        <v>0</v>
      </c>
      <c r="AA302" s="396">
        <v>0</v>
      </c>
      <c r="AB302" s="261" t="s">
        <v>260</v>
      </c>
      <c r="AC302" s="200"/>
    </row>
    <row r="303" spans="1:29" s="20" customFormat="1" x14ac:dyDescent="0.3">
      <c r="A303" s="370">
        <v>45592</v>
      </c>
      <c r="B303" s="37">
        <v>9.6999999999999993</v>
      </c>
      <c r="C303" s="14">
        <v>18.2</v>
      </c>
      <c r="D303" s="14">
        <v>8.3000000000000007</v>
      </c>
      <c r="E303" s="14">
        <v>18.600000000000001</v>
      </c>
      <c r="F303" s="14">
        <v>5.4</v>
      </c>
      <c r="G303" s="50">
        <f t="shared" si="14"/>
        <v>13.200000000000001</v>
      </c>
      <c r="H303" s="50">
        <f t="shared" si="15"/>
        <v>11.125</v>
      </c>
      <c r="I303" s="60">
        <v>12.059207783182741</v>
      </c>
      <c r="J303" s="165">
        <v>12</v>
      </c>
      <c r="K303" s="14">
        <v>4.8</v>
      </c>
      <c r="L303" s="50">
        <v>9.380611535788713</v>
      </c>
      <c r="M303" s="66">
        <v>100</v>
      </c>
      <c r="N303" s="24">
        <v>62.5</v>
      </c>
      <c r="O303" s="62">
        <v>85.08304378040323</v>
      </c>
      <c r="P303" s="377">
        <v>1023.88192696312</v>
      </c>
      <c r="Q303" s="21">
        <v>1018.4574556328801</v>
      </c>
      <c r="R303" s="383">
        <v>1021.2925380363581</v>
      </c>
      <c r="S303" s="54">
        <v>8.8000000070399995</v>
      </c>
      <c r="T303" s="47">
        <v>5.243333337528</v>
      </c>
      <c r="U303" s="25">
        <v>1.3283842805386956</v>
      </c>
      <c r="V303" s="175" t="s">
        <v>209</v>
      </c>
      <c r="W303" s="198"/>
      <c r="X303" s="26">
        <v>0</v>
      </c>
      <c r="Y303" s="27">
        <v>0</v>
      </c>
      <c r="Z303" s="28">
        <v>0</v>
      </c>
      <c r="AA303" s="396">
        <v>0</v>
      </c>
      <c r="AB303" s="261" t="s">
        <v>255</v>
      </c>
      <c r="AC303" s="200"/>
    </row>
    <row r="304" spans="1:29" s="20" customFormat="1" x14ac:dyDescent="0.3">
      <c r="A304" s="370">
        <v>45593</v>
      </c>
      <c r="B304" s="37">
        <v>8.6999999999999993</v>
      </c>
      <c r="C304" s="14">
        <v>18.7</v>
      </c>
      <c r="D304" s="14">
        <v>5.2</v>
      </c>
      <c r="E304" s="14">
        <v>18.899999999999999</v>
      </c>
      <c r="F304" s="14">
        <v>3</v>
      </c>
      <c r="G304" s="50">
        <f t="shared" si="14"/>
        <v>15.899999999999999</v>
      </c>
      <c r="H304" s="50">
        <f t="shared" si="15"/>
        <v>9.4499999999999993</v>
      </c>
      <c r="I304" s="60">
        <v>10.050277777777785</v>
      </c>
      <c r="J304" s="165">
        <v>13.5</v>
      </c>
      <c r="K304" s="14">
        <v>2.2999999999999998</v>
      </c>
      <c r="L304" s="50">
        <v>7.860138888888879</v>
      </c>
      <c r="M304" s="66">
        <v>100</v>
      </c>
      <c r="N304" s="24">
        <v>58.8</v>
      </c>
      <c r="O304" s="62">
        <v>87.863333333333287</v>
      </c>
      <c r="P304" s="377">
        <v>1026.1601347907899</v>
      </c>
      <c r="Q304" s="21">
        <v>1023.00161561921</v>
      </c>
      <c r="R304" s="383">
        <v>1024.7638835187256</v>
      </c>
      <c r="S304" s="54">
        <v>4.8000000038400001</v>
      </c>
      <c r="T304" s="47">
        <v>3.0833333357999999</v>
      </c>
      <c r="U304" s="25">
        <v>0.61261163457166357</v>
      </c>
      <c r="V304" s="175" t="s">
        <v>209</v>
      </c>
      <c r="W304" s="198" t="s">
        <v>239</v>
      </c>
      <c r="X304" s="26">
        <v>0</v>
      </c>
      <c r="Y304" s="27">
        <v>0</v>
      </c>
      <c r="Z304" s="28">
        <v>0</v>
      </c>
      <c r="AA304" s="396">
        <v>0</v>
      </c>
      <c r="AB304" s="261" t="s">
        <v>258</v>
      </c>
      <c r="AC304" s="200"/>
    </row>
    <row r="305" spans="1:29" s="20" customFormat="1" x14ac:dyDescent="0.3">
      <c r="A305" s="370">
        <v>45594</v>
      </c>
      <c r="B305" s="37">
        <v>5.5</v>
      </c>
      <c r="C305" s="14">
        <v>14.6</v>
      </c>
      <c r="D305" s="14">
        <v>8.6999999999999993</v>
      </c>
      <c r="E305" s="14">
        <v>16.899999999999999</v>
      </c>
      <c r="F305" s="14">
        <v>3.6</v>
      </c>
      <c r="G305" s="50">
        <f t="shared" si="14"/>
        <v>13.299999999999999</v>
      </c>
      <c r="H305" s="50">
        <f t="shared" si="15"/>
        <v>9.375</v>
      </c>
      <c r="I305" s="60">
        <v>9.5726388888888838</v>
      </c>
      <c r="J305" s="165">
        <v>12.5</v>
      </c>
      <c r="K305" s="14">
        <v>3.4</v>
      </c>
      <c r="L305" s="50">
        <v>8.0578472222222146</v>
      </c>
      <c r="M305" s="66">
        <v>100</v>
      </c>
      <c r="N305" s="24">
        <v>71.5</v>
      </c>
      <c r="O305" s="62">
        <v>91.090902777777671</v>
      </c>
      <c r="P305" s="377">
        <v>1026.39836555742</v>
      </c>
      <c r="Q305" s="21">
        <v>1023.43248694107</v>
      </c>
      <c r="R305" s="383">
        <v>1024.8934263686976</v>
      </c>
      <c r="S305" s="54">
        <v>4.1000000032799999</v>
      </c>
      <c r="T305" s="47">
        <v>2.7366666688559995</v>
      </c>
      <c r="U305" s="25">
        <v>0.53254681690543015</v>
      </c>
      <c r="V305" s="175" t="s">
        <v>209</v>
      </c>
      <c r="W305" s="198"/>
      <c r="X305" s="26">
        <v>0</v>
      </c>
      <c r="Y305" s="27">
        <v>0</v>
      </c>
      <c r="Z305" s="28">
        <v>0</v>
      </c>
      <c r="AA305" s="396">
        <v>0</v>
      </c>
      <c r="AB305" s="261" t="s">
        <v>444</v>
      </c>
      <c r="AC305" s="200"/>
    </row>
    <row r="306" spans="1:29" s="20" customFormat="1" x14ac:dyDescent="0.3">
      <c r="A306" s="370">
        <v>45595</v>
      </c>
      <c r="B306" s="37">
        <v>6.9</v>
      </c>
      <c r="C306" s="14">
        <v>18.399999999999999</v>
      </c>
      <c r="D306" s="14">
        <v>11.7</v>
      </c>
      <c r="E306" s="14">
        <v>18.5</v>
      </c>
      <c r="F306" s="14">
        <v>5.7</v>
      </c>
      <c r="G306" s="50">
        <f t="shared" si="14"/>
        <v>12.8</v>
      </c>
      <c r="H306" s="50">
        <f>(B306+C306+2*D306)/4</f>
        <v>12.174999999999999</v>
      </c>
      <c r="I306" s="60">
        <v>11.045448227936074</v>
      </c>
      <c r="J306" s="165">
        <v>13.4</v>
      </c>
      <c r="K306" s="14">
        <v>5.4</v>
      </c>
      <c r="L306" s="50">
        <v>9.6676858929812397</v>
      </c>
      <c r="M306" s="66">
        <v>100</v>
      </c>
      <c r="N306" s="24">
        <v>68.400000000000006</v>
      </c>
      <c r="O306" s="62">
        <v>91.989576094510156</v>
      </c>
      <c r="P306" s="377">
        <v>1025.0410477820899</v>
      </c>
      <c r="Q306" s="21">
        <v>1022.30552106979</v>
      </c>
      <c r="R306" s="383">
        <v>1023.8112067922137</v>
      </c>
      <c r="S306" s="54">
        <v>2.0000000016000001</v>
      </c>
      <c r="T306" s="47">
        <v>1.226666667648</v>
      </c>
      <c r="U306" s="25">
        <v>0.18058852635614311</v>
      </c>
      <c r="V306" s="175" t="s">
        <v>209</v>
      </c>
      <c r="W306" s="198" t="s">
        <v>214</v>
      </c>
      <c r="X306" s="26">
        <v>6</v>
      </c>
      <c r="Y306" s="27">
        <v>0.3</v>
      </c>
      <c r="Z306" s="28">
        <v>0</v>
      </c>
      <c r="AA306" s="396">
        <v>0</v>
      </c>
      <c r="AB306" s="261" t="s">
        <v>260</v>
      </c>
      <c r="AC306" s="200"/>
    </row>
    <row r="307" spans="1:29" s="257" customFormat="1" ht="15" thickBot="1" x14ac:dyDescent="0.35">
      <c r="A307" s="372">
        <v>45596</v>
      </c>
      <c r="B307" s="38">
        <v>9.8000000000000007</v>
      </c>
      <c r="C307" s="22">
        <v>16.600000000000001</v>
      </c>
      <c r="D307" s="22">
        <v>7.4</v>
      </c>
      <c r="E307" s="22">
        <v>18.2</v>
      </c>
      <c r="F307" s="22">
        <v>4.5999999999999996</v>
      </c>
      <c r="G307" s="256">
        <f t="shared" si="14"/>
        <v>13.6</v>
      </c>
      <c r="H307" s="256">
        <f>(B307+C307+2*D307)/4</f>
        <v>10.3</v>
      </c>
      <c r="I307" s="61">
        <v>11.317847222222259</v>
      </c>
      <c r="J307" s="166">
        <v>14.2</v>
      </c>
      <c r="K307" s="22">
        <v>4.2</v>
      </c>
      <c r="L307" s="256">
        <v>9.4245138888888782</v>
      </c>
      <c r="M307" s="67">
        <v>100</v>
      </c>
      <c r="N307" s="52">
        <v>69.2</v>
      </c>
      <c r="O307" s="63">
        <v>89.109652777777825</v>
      </c>
      <c r="P307" s="381">
        <v>1025.3102356542599</v>
      </c>
      <c r="Q307" s="53">
        <v>1022.6816976641001</v>
      </c>
      <c r="R307" s="388">
        <v>1023.9588178525831</v>
      </c>
      <c r="S307" s="56">
        <v>6.10000000488</v>
      </c>
      <c r="T307" s="49">
        <v>3.3866666693759995</v>
      </c>
      <c r="U307" s="39">
        <v>0.7610547918229339</v>
      </c>
      <c r="V307" s="176" t="s">
        <v>209</v>
      </c>
      <c r="W307" s="199"/>
      <c r="X307" s="40">
        <v>0</v>
      </c>
      <c r="Y307" s="41">
        <v>0</v>
      </c>
      <c r="Z307" s="42">
        <v>0</v>
      </c>
      <c r="AA307" s="399">
        <v>0</v>
      </c>
      <c r="AB307" s="262" t="s">
        <v>260</v>
      </c>
      <c r="AC307" s="404"/>
    </row>
    <row r="308" spans="1:29" s="33" customFormat="1" x14ac:dyDescent="0.3">
      <c r="A308" s="370">
        <v>45597</v>
      </c>
      <c r="B308" s="57">
        <v>3.5</v>
      </c>
      <c r="C308" s="29">
        <v>10.4</v>
      </c>
      <c r="D308" s="29">
        <v>9.1</v>
      </c>
      <c r="E308" s="29">
        <v>10.8</v>
      </c>
      <c r="F308" s="29">
        <v>1.7</v>
      </c>
      <c r="G308" s="58">
        <f t="shared" ref="G308:G368" si="16">E308-F308</f>
        <v>9.1000000000000014</v>
      </c>
      <c r="H308" s="58">
        <f>(B308+C308+2*D308)/4</f>
        <v>8.0250000000000004</v>
      </c>
      <c r="I308" s="65">
        <v>6.9451007644197622</v>
      </c>
      <c r="J308" s="366">
        <v>10.6</v>
      </c>
      <c r="K308" s="29">
        <v>1.7</v>
      </c>
      <c r="L308" s="58">
        <v>6.7888811674774043</v>
      </c>
      <c r="M308" s="90">
        <v>100</v>
      </c>
      <c r="N308" s="30">
        <v>92.8</v>
      </c>
      <c r="O308" s="87">
        <v>98.935093815149955</v>
      </c>
      <c r="P308" s="376">
        <v>1024.1559999999999</v>
      </c>
      <c r="Q308" s="31">
        <v>1018.476</v>
      </c>
      <c r="R308" s="382">
        <v>1021.9187489082965</v>
      </c>
      <c r="S308" s="89">
        <v>5.4</v>
      </c>
      <c r="T308" s="88">
        <v>3.5066667000000002</v>
      </c>
      <c r="U308" s="32">
        <v>0.97213731149927651</v>
      </c>
      <c r="V308" s="174" t="s">
        <v>244</v>
      </c>
      <c r="W308" s="363"/>
      <c r="X308" s="84">
        <v>0</v>
      </c>
      <c r="Y308" s="85">
        <v>0</v>
      </c>
      <c r="Z308" s="86">
        <v>0</v>
      </c>
      <c r="AA308" s="393">
        <v>0</v>
      </c>
      <c r="AB308" s="259" t="s">
        <v>445</v>
      </c>
      <c r="AC308" s="401"/>
    </row>
    <row r="309" spans="1:29" s="20" customFormat="1" x14ac:dyDescent="0.3">
      <c r="A309" s="370">
        <v>45598</v>
      </c>
      <c r="B309" s="37">
        <v>8.6999999999999993</v>
      </c>
      <c r="C309" s="14">
        <v>15</v>
      </c>
      <c r="D309" s="14">
        <v>3.1</v>
      </c>
      <c r="E309" s="14">
        <v>15.1</v>
      </c>
      <c r="F309" s="14">
        <v>-1.2</v>
      </c>
      <c r="G309" s="58">
        <f t="shared" si="16"/>
        <v>16.3</v>
      </c>
      <c r="H309" s="58">
        <f t="shared" ref="H309:H336" si="17">(B309+C309+2*D309)/4</f>
        <v>7.4749999999999996</v>
      </c>
      <c r="I309" s="60">
        <v>8.2015558698726849</v>
      </c>
      <c r="J309" s="165">
        <v>11.1</v>
      </c>
      <c r="K309" s="14">
        <v>-3.1</v>
      </c>
      <c r="L309" s="50">
        <v>5.6659123055162484</v>
      </c>
      <c r="M309" s="66">
        <v>100</v>
      </c>
      <c r="N309" s="24">
        <v>62.4</v>
      </c>
      <c r="O309" s="62">
        <v>85.002899575671805</v>
      </c>
      <c r="P309" s="377">
        <v>1033.1289999999999</v>
      </c>
      <c r="Q309" s="21">
        <v>1018.227</v>
      </c>
      <c r="R309" s="383">
        <v>1023.8560522778187</v>
      </c>
      <c r="S309" s="54">
        <v>8.8000000000000007</v>
      </c>
      <c r="T309" s="47">
        <v>5.3933334000000004</v>
      </c>
      <c r="U309" s="25">
        <v>1.5037714712472052</v>
      </c>
      <c r="V309" s="175" t="s">
        <v>210</v>
      </c>
      <c r="W309" s="196" t="s">
        <v>239</v>
      </c>
      <c r="X309" s="16">
        <v>0</v>
      </c>
      <c r="Y309" s="17">
        <v>0</v>
      </c>
      <c r="Z309" s="18">
        <v>0</v>
      </c>
      <c r="AA309" s="394">
        <v>0</v>
      </c>
      <c r="AB309" s="260" t="s">
        <v>446</v>
      </c>
      <c r="AC309" s="200"/>
    </row>
    <row r="310" spans="1:29" s="20" customFormat="1" x14ac:dyDescent="0.3">
      <c r="A310" s="370">
        <v>45599</v>
      </c>
      <c r="B310" s="37">
        <v>-4.7</v>
      </c>
      <c r="C310" s="14">
        <v>8.1999999999999993</v>
      </c>
      <c r="D310" s="14">
        <v>-2.5</v>
      </c>
      <c r="E310" s="14">
        <v>9.6999999999999993</v>
      </c>
      <c r="F310" s="14">
        <v>-4.7</v>
      </c>
      <c r="G310" s="58">
        <f t="shared" si="16"/>
        <v>14.399999999999999</v>
      </c>
      <c r="H310" s="58">
        <f t="shared" si="17"/>
        <v>-0.37500000000000022</v>
      </c>
      <c r="I310" s="60">
        <v>0.22687500000000008</v>
      </c>
      <c r="J310" s="165">
        <v>2.4</v>
      </c>
      <c r="K310" s="14">
        <v>-5.5</v>
      </c>
      <c r="L310" s="50">
        <v>-2.1661805555555627</v>
      </c>
      <c r="M310" s="66">
        <v>99.8</v>
      </c>
      <c r="N310" s="24">
        <v>53.2</v>
      </c>
      <c r="O310" s="62">
        <v>85.401805555555654</v>
      </c>
      <c r="P310" s="377">
        <v>1033.825</v>
      </c>
      <c r="Q310" s="21">
        <v>1028.2909999999999</v>
      </c>
      <c r="R310" s="383">
        <v>1031.2254797297292</v>
      </c>
      <c r="S310" s="54">
        <v>2</v>
      </c>
      <c r="T310" s="47">
        <v>1.2099999999999997</v>
      </c>
      <c r="U310" s="25">
        <v>0.42107107132132132</v>
      </c>
      <c r="V310" s="175" t="s">
        <v>209</v>
      </c>
      <c r="W310" s="196"/>
      <c r="X310" s="16">
        <v>0</v>
      </c>
      <c r="Y310" s="17">
        <v>0</v>
      </c>
      <c r="Z310" s="18">
        <v>0</v>
      </c>
      <c r="AA310" s="394">
        <v>0</v>
      </c>
      <c r="AB310" s="260" t="s">
        <v>258</v>
      </c>
      <c r="AC310" s="200"/>
    </row>
    <row r="311" spans="1:29" s="20" customFormat="1" x14ac:dyDescent="0.3">
      <c r="A311" s="370">
        <v>45600</v>
      </c>
      <c r="B311" s="37">
        <v>-3.4</v>
      </c>
      <c r="C311" s="14">
        <v>5.9</v>
      </c>
      <c r="D311" s="14">
        <v>1.7</v>
      </c>
      <c r="E311" s="14">
        <v>7.3</v>
      </c>
      <c r="F311" s="14">
        <v>-5.3</v>
      </c>
      <c r="G311" s="58">
        <f t="shared" si="16"/>
        <v>12.6</v>
      </c>
      <c r="H311" s="58">
        <f t="shared" si="17"/>
        <v>1.4750000000000001</v>
      </c>
      <c r="I311" s="60">
        <v>0.71501042390549141</v>
      </c>
      <c r="J311" s="165">
        <v>5.7</v>
      </c>
      <c r="K311" s="14">
        <v>-5.9</v>
      </c>
      <c r="L311" s="50">
        <v>-0.32265462126476829</v>
      </c>
      <c r="M311" s="66">
        <v>100</v>
      </c>
      <c r="N311" s="24">
        <v>82.3</v>
      </c>
      <c r="O311" s="62">
        <v>93.035163307852585</v>
      </c>
      <c r="P311" s="377">
        <v>1032.298</v>
      </c>
      <c r="Q311" s="21">
        <v>1027.3130000000001</v>
      </c>
      <c r="R311" s="383">
        <v>1028.9012206846305</v>
      </c>
      <c r="S311" s="55">
        <v>3.7</v>
      </c>
      <c r="T311" s="48">
        <v>2.29</v>
      </c>
      <c r="U311" s="19">
        <v>0.37998300364166054</v>
      </c>
      <c r="V311" s="175" t="s">
        <v>209</v>
      </c>
      <c r="W311" s="197"/>
      <c r="X311" s="16">
        <v>0</v>
      </c>
      <c r="Y311" s="17">
        <v>0</v>
      </c>
      <c r="Z311" s="18">
        <v>0</v>
      </c>
      <c r="AA311" s="394">
        <v>0</v>
      </c>
      <c r="AB311" s="260" t="s">
        <v>252</v>
      </c>
      <c r="AC311" s="200"/>
    </row>
    <row r="312" spans="1:29" s="20" customFormat="1" x14ac:dyDescent="0.3">
      <c r="A312" s="370">
        <v>45601</v>
      </c>
      <c r="B312" s="37">
        <v>-1.3</v>
      </c>
      <c r="C312" s="14">
        <v>11.7</v>
      </c>
      <c r="D312" s="14">
        <v>-1.6</v>
      </c>
      <c r="E312" s="14">
        <v>12</v>
      </c>
      <c r="F312" s="14">
        <v>-3.5</v>
      </c>
      <c r="G312" s="50">
        <f t="shared" si="16"/>
        <v>15.5</v>
      </c>
      <c r="H312" s="50">
        <f t="shared" si="17"/>
        <v>1.7999999999999996</v>
      </c>
      <c r="I312" s="60">
        <v>1.6220833333333293</v>
      </c>
      <c r="J312" s="165">
        <v>5.8</v>
      </c>
      <c r="K312" s="14">
        <v>-4.0999999999999996</v>
      </c>
      <c r="L312" s="50">
        <v>-0.15944444444444494</v>
      </c>
      <c r="M312" s="66">
        <v>100</v>
      </c>
      <c r="N312" s="24">
        <v>56.8</v>
      </c>
      <c r="O312" s="62">
        <v>89.582847222222171</v>
      </c>
      <c r="P312" s="377">
        <v>1033.165</v>
      </c>
      <c r="Q312" s="21">
        <v>1028.7539999999999</v>
      </c>
      <c r="R312" s="383">
        <v>1031.1510616388673</v>
      </c>
      <c r="S312" s="54">
        <v>3.7</v>
      </c>
      <c r="T312" s="47">
        <v>2.38</v>
      </c>
      <c r="U312" s="25">
        <v>0.47907903988397216</v>
      </c>
      <c r="V312" s="175" t="s">
        <v>209</v>
      </c>
      <c r="W312" s="197" t="s">
        <v>443</v>
      </c>
      <c r="X312" s="16">
        <v>0</v>
      </c>
      <c r="Y312" s="17">
        <v>0.1</v>
      </c>
      <c r="Z312" s="18">
        <v>0</v>
      </c>
      <c r="AA312" s="394">
        <v>0</v>
      </c>
      <c r="AB312" s="260" t="s">
        <v>257</v>
      </c>
      <c r="AC312" s="200"/>
    </row>
    <row r="313" spans="1:29" s="20" customFormat="1" x14ac:dyDescent="0.3">
      <c r="A313" s="370">
        <v>45602</v>
      </c>
      <c r="B313" s="37">
        <v>-6</v>
      </c>
      <c r="C313" s="14">
        <v>10.4</v>
      </c>
      <c r="D313" s="14">
        <v>-1.6</v>
      </c>
      <c r="E313" s="14">
        <v>11.7</v>
      </c>
      <c r="F313" s="14">
        <v>-6.2</v>
      </c>
      <c r="G313" s="50">
        <f t="shared" si="16"/>
        <v>17.899999999999999</v>
      </c>
      <c r="H313" s="50">
        <f t="shared" si="17"/>
        <v>0.30000000000000004</v>
      </c>
      <c r="I313" s="60">
        <v>0.4192361111111152</v>
      </c>
      <c r="J313" s="165">
        <v>5.3</v>
      </c>
      <c r="K313" s="14">
        <v>-7.1</v>
      </c>
      <c r="L313" s="50">
        <v>-1.5575694444444514</v>
      </c>
      <c r="M313" s="66">
        <v>100</v>
      </c>
      <c r="N313" s="24">
        <v>63.8</v>
      </c>
      <c r="O313" s="62">
        <v>87.710972222222296</v>
      </c>
      <c r="P313" s="377">
        <v>1035.3340000000001</v>
      </c>
      <c r="Q313" s="21">
        <v>1031.0640000000001</v>
      </c>
      <c r="R313" s="383">
        <v>1032.7300515239481</v>
      </c>
      <c r="S313" s="54">
        <v>3.1</v>
      </c>
      <c r="T313" s="47">
        <v>2</v>
      </c>
      <c r="U313" s="25">
        <v>0.50088292162554116</v>
      </c>
      <c r="V313" s="175" t="s">
        <v>209</v>
      </c>
      <c r="W313" s="197" t="s">
        <v>443</v>
      </c>
      <c r="X313" s="16">
        <v>0</v>
      </c>
      <c r="Y313" s="17">
        <v>0.1</v>
      </c>
      <c r="Z313" s="18">
        <v>0</v>
      </c>
      <c r="AA313" s="394">
        <v>0</v>
      </c>
      <c r="AB313" s="260" t="s">
        <v>422</v>
      </c>
      <c r="AC313" s="200"/>
    </row>
    <row r="314" spans="1:29" s="20" customFormat="1" x14ac:dyDescent="0.3">
      <c r="A314" s="370">
        <v>45603</v>
      </c>
      <c r="B314" s="37">
        <v>-3.3</v>
      </c>
      <c r="C314" s="14">
        <v>10.4</v>
      </c>
      <c r="D314" s="14">
        <v>-0.7</v>
      </c>
      <c r="E314" s="14">
        <v>11</v>
      </c>
      <c r="F314" s="14">
        <v>-4.4000000000000004</v>
      </c>
      <c r="G314" s="50">
        <f t="shared" si="16"/>
        <v>15.4</v>
      </c>
      <c r="H314" s="50">
        <f t="shared" si="17"/>
        <v>1.4250000000000003</v>
      </c>
      <c r="I314" s="60">
        <v>0.6604586518415535</v>
      </c>
      <c r="J314" s="165">
        <v>6.1</v>
      </c>
      <c r="K314" s="14">
        <v>-5.2</v>
      </c>
      <c r="L314" s="50">
        <v>-0.68533703961084236</v>
      </c>
      <c r="M314" s="66">
        <v>100</v>
      </c>
      <c r="N314" s="24">
        <v>70</v>
      </c>
      <c r="O314" s="62">
        <v>91.413412091730521</v>
      </c>
      <c r="P314" s="377">
        <v>1035.8109999999999</v>
      </c>
      <c r="Q314" s="21">
        <v>1032.471</v>
      </c>
      <c r="R314" s="383">
        <v>1034.379566037735</v>
      </c>
      <c r="S314" s="54">
        <v>2.4</v>
      </c>
      <c r="T314" s="47">
        <v>1.4600000000000002</v>
      </c>
      <c r="U314" s="25">
        <v>0.29973391291727219</v>
      </c>
      <c r="V314" s="175" t="s">
        <v>209</v>
      </c>
      <c r="W314" s="197"/>
      <c r="X314" s="16">
        <v>0</v>
      </c>
      <c r="Y314" s="17">
        <v>0</v>
      </c>
      <c r="Z314" s="18">
        <v>0</v>
      </c>
      <c r="AA314" s="394">
        <v>0</v>
      </c>
      <c r="AB314" s="260" t="s">
        <v>285</v>
      </c>
      <c r="AC314" s="200"/>
    </row>
    <row r="315" spans="1:29" s="20" customFormat="1" x14ac:dyDescent="0.3">
      <c r="A315" s="370">
        <v>45604</v>
      </c>
      <c r="B315" s="37">
        <v>-2.7</v>
      </c>
      <c r="C315" s="14">
        <v>11.7</v>
      </c>
      <c r="D315" s="14">
        <v>0.5</v>
      </c>
      <c r="E315" s="14">
        <v>13.3</v>
      </c>
      <c r="F315" s="14">
        <v>-2.9</v>
      </c>
      <c r="G315" s="50">
        <f t="shared" si="16"/>
        <v>16.2</v>
      </c>
      <c r="H315" s="50">
        <f t="shared" si="17"/>
        <v>2.5</v>
      </c>
      <c r="I315" s="60">
        <v>1.8922916666666589</v>
      </c>
      <c r="J315" s="165">
        <v>7.9</v>
      </c>
      <c r="K315" s="14">
        <v>-3.2</v>
      </c>
      <c r="L315" s="50">
        <v>0.45513888888888648</v>
      </c>
      <c r="M315" s="66">
        <v>100</v>
      </c>
      <c r="N315" s="24">
        <v>68.900000000000006</v>
      </c>
      <c r="O315" s="62">
        <v>91.04312500000006</v>
      </c>
      <c r="P315" s="377">
        <v>1034.2529999999999</v>
      </c>
      <c r="Q315" s="21">
        <v>1030.8009999999999</v>
      </c>
      <c r="R315" s="383">
        <v>1033.0208938181831</v>
      </c>
      <c r="S315" s="54">
        <v>5.0999999999999996</v>
      </c>
      <c r="T315" s="47">
        <v>3.5033333</v>
      </c>
      <c r="U315" s="25">
        <v>0.45912727199999842</v>
      </c>
      <c r="V315" s="175" t="s">
        <v>209</v>
      </c>
      <c r="W315" s="197"/>
      <c r="X315" s="16">
        <v>0</v>
      </c>
      <c r="Y315" s="17">
        <v>0</v>
      </c>
      <c r="Z315" s="18">
        <v>0</v>
      </c>
      <c r="AA315" s="394">
        <v>0</v>
      </c>
      <c r="AB315" s="260" t="s">
        <v>285</v>
      </c>
      <c r="AC315" s="200"/>
    </row>
    <row r="316" spans="1:29" s="20" customFormat="1" x14ac:dyDescent="0.3">
      <c r="A316" s="370">
        <v>45605</v>
      </c>
      <c r="B316" s="37">
        <v>-5.6</v>
      </c>
      <c r="C316" s="14">
        <v>11.6</v>
      </c>
      <c r="D316" s="14">
        <v>-1.3</v>
      </c>
      <c r="E316" s="14">
        <v>12.2</v>
      </c>
      <c r="F316" s="14">
        <v>-5.7</v>
      </c>
      <c r="G316" s="50">
        <f t="shared" si="16"/>
        <v>17.899999999999999</v>
      </c>
      <c r="H316" s="50">
        <f t="shared" si="17"/>
        <v>0.85</v>
      </c>
      <c r="I316" s="60">
        <v>1.0474635163307839</v>
      </c>
      <c r="J316" s="165">
        <v>6.1</v>
      </c>
      <c r="K316" s="14">
        <v>-6.7</v>
      </c>
      <c r="L316" s="50">
        <v>-1.046907574704655</v>
      </c>
      <c r="M316" s="66">
        <v>99.5</v>
      </c>
      <c r="N316" s="24">
        <v>64.2</v>
      </c>
      <c r="O316" s="62">
        <v>86.943085476024876</v>
      </c>
      <c r="P316" s="377">
        <v>1033.2190000000001</v>
      </c>
      <c r="Q316" s="21">
        <v>1027.0309999999999</v>
      </c>
      <c r="R316" s="383">
        <v>1030.284072610295</v>
      </c>
      <c r="S316" s="54">
        <v>6.1</v>
      </c>
      <c r="T316" s="47">
        <v>3.6933333000000004</v>
      </c>
      <c r="U316" s="25">
        <v>0.99672181250000236</v>
      </c>
      <c r="V316" s="175" t="s">
        <v>209</v>
      </c>
      <c r="W316" s="197" t="s">
        <v>443</v>
      </c>
      <c r="X316" s="16">
        <v>0</v>
      </c>
      <c r="Y316" s="17">
        <v>0.1</v>
      </c>
      <c r="Z316" s="18">
        <v>0</v>
      </c>
      <c r="AA316" s="394">
        <v>0</v>
      </c>
      <c r="AB316" s="260" t="s">
        <v>447</v>
      </c>
      <c r="AC316" s="200"/>
    </row>
    <row r="317" spans="1:29" s="20" customFormat="1" x14ac:dyDescent="0.3">
      <c r="A317" s="370">
        <v>45606</v>
      </c>
      <c r="B317" s="37">
        <v>-6.7</v>
      </c>
      <c r="C317" s="14">
        <v>9.6</v>
      </c>
      <c r="D317" s="14">
        <v>-2.6</v>
      </c>
      <c r="E317" s="14">
        <v>10.199999999999999</v>
      </c>
      <c r="F317" s="14">
        <v>-6.8</v>
      </c>
      <c r="G317" s="50">
        <f t="shared" si="16"/>
        <v>17</v>
      </c>
      <c r="H317" s="50">
        <f t="shared" si="17"/>
        <v>-0.57500000000000018</v>
      </c>
      <c r="I317" s="60">
        <v>-0.66340277777777867</v>
      </c>
      <c r="J317" s="165">
        <v>4.3</v>
      </c>
      <c r="K317" s="14">
        <v>-7.8</v>
      </c>
      <c r="L317" s="50">
        <v>-2.5438888888888984</v>
      </c>
      <c r="M317" s="66">
        <v>99.6</v>
      </c>
      <c r="N317" s="24">
        <v>64.5</v>
      </c>
      <c r="O317" s="62">
        <v>87.952499999999958</v>
      </c>
      <c r="P317" s="377">
        <v>1027.925</v>
      </c>
      <c r="Q317" s="21">
        <v>1026.825</v>
      </c>
      <c r="R317" s="383">
        <v>1027.3367558528428</v>
      </c>
      <c r="S317" s="54">
        <v>2.4</v>
      </c>
      <c r="T317" s="47">
        <v>1.52</v>
      </c>
      <c r="U317" s="25">
        <v>0.9787068026755853</v>
      </c>
      <c r="V317" s="175" t="s">
        <v>209</v>
      </c>
      <c r="W317" s="197"/>
      <c r="X317" s="16">
        <v>0</v>
      </c>
      <c r="Y317" s="17">
        <v>0</v>
      </c>
      <c r="Z317" s="18">
        <v>0</v>
      </c>
      <c r="AA317" s="394">
        <v>0</v>
      </c>
      <c r="AB317" s="260" t="s">
        <v>438</v>
      </c>
      <c r="AC317" s="200"/>
    </row>
    <row r="318" spans="1:29" s="20" customFormat="1" x14ac:dyDescent="0.3">
      <c r="A318" s="370">
        <v>45607</v>
      </c>
      <c r="B318" s="37">
        <v>-4.3</v>
      </c>
      <c r="C318" s="14">
        <v>8.1999999999999993</v>
      </c>
      <c r="D318" s="14">
        <v>-2.8</v>
      </c>
      <c r="E318" s="14">
        <v>10</v>
      </c>
      <c r="F318" s="14">
        <v>-5</v>
      </c>
      <c r="G318" s="50">
        <f t="shared" si="16"/>
        <v>15</v>
      </c>
      <c r="H318" s="50">
        <f t="shared" si="17"/>
        <v>-0.42500000000000004</v>
      </c>
      <c r="I318" s="60">
        <v>-0.72564280750521815</v>
      </c>
      <c r="J318" s="165">
        <v>4.5999999999999996</v>
      </c>
      <c r="K318" s="14">
        <v>-5.8</v>
      </c>
      <c r="L318" s="50">
        <v>-2.2505211952744917</v>
      </c>
      <c r="M318" s="66">
        <v>100</v>
      </c>
      <c r="N318" s="24">
        <v>67.7</v>
      </c>
      <c r="O318" s="62">
        <v>90.178874218207099</v>
      </c>
      <c r="P318" s="377">
        <v>1027.405</v>
      </c>
      <c r="Q318" s="21">
        <v>1025.6980000000001</v>
      </c>
      <c r="R318" s="383">
        <v>1026.3475656108606</v>
      </c>
      <c r="S318" s="54">
        <v>1.7</v>
      </c>
      <c r="T318" s="47">
        <v>1.4000000000000001</v>
      </c>
      <c r="U318" s="25">
        <v>0.54901960633484137</v>
      </c>
      <c r="V318" s="175" t="s">
        <v>209</v>
      </c>
      <c r="W318" s="197"/>
      <c r="X318" s="16">
        <v>0</v>
      </c>
      <c r="Y318" s="17">
        <v>0</v>
      </c>
      <c r="Z318" s="18">
        <v>0</v>
      </c>
      <c r="AA318" s="394">
        <v>0</v>
      </c>
      <c r="AB318" s="260" t="s">
        <v>285</v>
      </c>
      <c r="AC318" s="200"/>
    </row>
    <row r="319" spans="1:29" s="20" customFormat="1" x14ac:dyDescent="0.3">
      <c r="A319" s="370">
        <v>45608</v>
      </c>
      <c r="B319" s="37">
        <v>-5.2</v>
      </c>
      <c r="C319" s="14">
        <v>2.5</v>
      </c>
      <c r="D319" s="14">
        <v>0.8</v>
      </c>
      <c r="E319" s="14">
        <v>2.6</v>
      </c>
      <c r="F319" s="14">
        <v>-5.5</v>
      </c>
      <c r="G319" s="50">
        <f t="shared" si="16"/>
        <v>8.1</v>
      </c>
      <c r="H319" s="50">
        <f t="shared" si="17"/>
        <v>-0.27500000000000002</v>
      </c>
      <c r="I319" s="60">
        <v>-1.1296527777777814</v>
      </c>
      <c r="J319" s="165">
        <v>2.4</v>
      </c>
      <c r="K319" s="14">
        <v>-6</v>
      </c>
      <c r="L319" s="50">
        <v>-1.7753472222222131</v>
      </c>
      <c r="M319" s="66">
        <v>100</v>
      </c>
      <c r="N319" s="24">
        <v>89</v>
      </c>
      <c r="O319" s="62">
        <v>95.447986111111035</v>
      </c>
      <c r="P319" s="377">
        <v>1029.5619999999999</v>
      </c>
      <c r="Q319" s="21">
        <v>1027.3599999999999</v>
      </c>
      <c r="R319" s="383">
        <v>1028.6149840933149</v>
      </c>
      <c r="S319" s="54">
        <v>5.0999999999999996</v>
      </c>
      <c r="T319" s="47">
        <v>3.55</v>
      </c>
      <c r="U319" s="25">
        <v>0.93446447613997752</v>
      </c>
      <c r="V319" s="175" t="s">
        <v>210</v>
      </c>
      <c r="W319" s="197"/>
      <c r="X319" s="16">
        <v>0</v>
      </c>
      <c r="Y319" s="17">
        <v>0</v>
      </c>
      <c r="Z319" s="18">
        <v>0</v>
      </c>
      <c r="AA319" s="394">
        <v>0</v>
      </c>
      <c r="AB319" s="260" t="s">
        <v>237</v>
      </c>
      <c r="AC319" s="200"/>
    </row>
    <row r="320" spans="1:29" s="20" customFormat="1" x14ac:dyDescent="0.3">
      <c r="A320" s="370">
        <v>45609</v>
      </c>
      <c r="B320" s="37">
        <v>0.1</v>
      </c>
      <c r="C320" s="14">
        <v>1.5</v>
      </c>
      <c r="D320" s="14">
        <v>0.6</v>
      </c>
      <c r="E320" s="14">
        <v>1.6</v>
      </c>
      <c r="F320" s="14">
        <v>0.1</v>
      </c>
      <c r="G320" s="50">
        <f t="shared" si="16"/>
        <v>1.5</v>
      </c>
      <c r="H320" s="50">
        <f t="shared" si="17"/>
        <v>0.7</v>
      </c>
      <c r="I320" s="60">
        <v>0.6909027777777812</v>
      </c>
      <c r="J320" s="165">
        <v>1.2</v>
      </c>
      <c r="K320" s="14">
        <v>-0.1</v>
      </c>
      <c r="L320" s="50">
        <v>0.30375000000000119</v>
      </c>
      <c r="M320" s="66">
        <v>100</v>
      </c>
      <c r="N320" s="24">
        <v>93.8</v>
      </c>
      <c r="O320" s="62">
        <v>97.237986111111752</v>
      </c>
      <c r="P320" s="377">
        <v>1028.4469999999999</v>
      </c>
      <c r="Q320" s="21">
        <v>1027.0029999999999</v>
      </c>
      <c r="R320" s="383">
        <v>1027.7280115546241</v>
      </c>
      <c r="S320" s="54">
        <v>3.4</v>
      </c>
      <c r="T320" s="47">
        <v>2.7</v>
      </c>
      <c r="U320" s="25">
        <v>1.0268557426470581</v>
      </c>
      <c r="V320" s="175" t="s">
        <v>244</v>
      </c>
      <c r="W320" s="198"/>
      <c r="X320" s="26">
        <v>0</v>
      </c>
      <c r="Y320" s="27">
        <v>0</v>
      </c>
      <c r="Z320" s="28">
        <v>0</v>
      </c>
      <c r="AA320" s="396">
        <v>0</v>
      </c>
      <c r="AB320" s="261" t="s">
        <v>448</v>
      </c>
      <c r="AC320" s="200"/>
    </row>
    <row r="321" spans="1:29" s="20" customFormat="1" x14ac:dyDescent="0.3">
      <c r="A321" s="370">
        <v>45610</v>
      </c>
      <c r="B321" s="37">
        <v>0.3</v>
      </c>
      <c r="C321" s="14">
        <v>3</v>
      </c>
      <c r="D321" s="14">
        <v>1.5</v>
      </c>
      <c r="E321" s="14">
        <v>3.1</v>
      </c>
      <c r="F321" s="14">
        <v>0.1</v>
      </c>
      <c r="G321" s="50">
        <f t="shared" si="16"/>
        <v>3</v>
      </c>
      <c r="H321" s="50">
        <f t="shared" si="17"/>
        <v>1.575</v>
      </c>
      <c r="I321" s="60">
        <v>1.4284920083391239</v>
      </c>
      <c r="J321" s="165">
        <v>1.8</v>
      </c>
      <c r="K321" s="14">
        <v>-0.9</v>
      </c>
      <c r="L321" s="50">
        <v>0.63092425295344123</v>
      </c>
      <c r="M321" s="66">
        <v>100</v>
      </c>
      <c r="N321" s="24">
        <v>87.6</v>
      </c>
      <c r="O321" s="62">
        <v>94.509242529534376</v>
      </c>
      <c r="P321" s="377">
        <v>1025.1759999999999</v>
      </c>
      <c r="Q321" s="21">
        <v>1021.035</v>
      </c>
      <c r="R321" s="383">
        <v>1022.73291877058</v>
      </c>
      <c r="S321" s="54">
        <v>4.8</v>
      </c>
      <c r="T321" s="47">
        <v>3.44</v>
      </c>
      <c r="U321" s="25">
        <v>1.7861507486278907</v>
      </c>
      <c r="V321" s="175" t="s">
        <v>208</v>
      </c>
      <c r="W321" s="198" t="s">
        <v>214</v>
      </c>
      <c r="X321" s="26">
        <v>6</v>
      </c>
      <c r="Y321" s="27">
        <v>0.4</v>
      </c>
      <c r="Z321" s="28">
        <v>0</v>
      </c>
      <c r="AA321" s="396">
        <v>0</v>
      </c>
      <c r="AB321" s="261" t="s">
        <v>448</v>
      </c>
      <c r="AC321" s="200"/>
    </row>
    <row r="322" spans="1:29" s="20" customFormat="1" x14ac:dyDescent="0.3">
      <c r="A322" s="370">
        <v>45611</v>
      </c>
      <c r="B322" s="37">
        <v>0.5</v>
      </c>
      <c r="C322" s="14">
        <v>1.8</v>
      </c>
      <c r="D322" s="14">
        <v>1.5</v>
      </c>
      <c r="E322" s="14">
        <v>1.9</v>
      </c>
      <c r="F322" s="14">
        <v>0.4</v>
      </c>
      <c r="G322" s="50">
        <f t="shared" si="16"/>
        <v>1.5</v>
      </c>
      <c r="H322" s="50">
        <f t="shared" si="17"/>
        <v>1.325</v>
      </c>
      <c r="I322" s="60">
        <v>1.1597916666666606</v>
      </c>
      <c r="J322" s="165">
        <v>1.9</v>
      </c>
      <c r="K322" s="14">
        <v>0.1</v>
      </c>
      <c r="L322" s="50">
        <v>1.1099999999999943</v>
      </c>
      <c r="M322" s="66">
        <v>100</v>
      </c>
      <c r="N322" s="24">
        <v>96.8</v>
      </c>
      <c r="O322" s="62">
        <v>99.620347222222208</v>
      </c>
      <c r="P322" s="377">
        <v>1025.9649999999999</v>
      </c>
      <c r="Q322" s="21">
        <v>1020.318</v>
      </c>
      <c r="R322" s="383">
        <v>1022.960709976795</v>
      </c>
      <c r="S322" s="54">
        <v>3.4</v>
      </c>
      <c r="T322" s="47">
        <v>1.9483332999999998</v>
      </c>
      <c r="U322" s="25">
        <v>0.70839133797370157</v>
      </c>
      <c r="V322" s="175" t="s">
        <v>244</v>
      </c>
      <c r="W322" s="198" t="s">
        <v>449</v>
      </c>
      <c r="X322" s="26">
        <v>6</v>
      </c>
      <c r="Y322" s="27">
        <v>1.3</v>
      </c>
      <c r="Z322" s="28">
        <v>0</v>
      </c>
      <c r="AA322" s="396">
        <v>0</v>
      </c>
      <c r="AB322" s="261" t="s">
        <v>251</v>
      </c>
      <c r="AC322" s="200"/>
    </row>
    <row r="323" spans="1:29" s="20" customFormat="1" x14ac:dyDescent="0.3">
      <c r="A323" s="370">
        <v>45612</v>
      </c>
      <c r="B323" s="37">
        <v>1.8</v>
      </c>
      <c r="C323" s="14">
        <v>3.1</v>
      </c>
      <c r="D323" s="14">
        <v>3.9</v>
      </c>
      <c r="E323" s="14">
        <v>3.9</v>
      </c>
      <c r="F323" s="14">
        <v>1.6</v>
      </c>
      <c r="G323" s="50">
        <f t="shared" si="16"/>
        <v>2.2999999999999998</v>
      </c>
      <c r="H323" s="50">
        <f t="shared" si="17"/>
        <v>3.1749999999999998</v>
      </c>
      <c r="I323" s="60">
        <v>2.7950694444444544</v>
      </c>
      <c r="J323" s="165">
        <v>3.5</v>
      </c>
      <c r="K323" s="14">
        <v>1.6</v>
      </c>
      <c r="L323" s="50">
        <v>2.6260416666666702</v>
      </c>
      <c r="M323" s="66">
        <v>100</v>
      </c>
      <c r="N323" s="24">
        <v>94.5</v>
      </c>
      <c r="O323" s="62">
        <v>98.823333333333238</v>
      </c>
      <c r="P323" s="377">
        <v>1026.059</v>
      </c>
      <c r="Q323" s="21">
        <v>1017.587</v>
      </c>
      <c r="R323" s="383">
        <v>1022.902298076928</v>
      </c>
      <c r="S323" s="54">
        <v>8.5</v>
      </c>
      <c r="T323" s="47">
        <v>6.2966667000000012</v>
      </c>
      <c r="U323" s="25">
        <v>2.4913831383136062</v>
      </c>
      <c r="V323" s="175" t="s">
        <v>208</v>
      </c>
      <c r="W323" s="198"/>
      <c r="X323" s="26">
        <v>0</v>
      </c>
      <c r="Y323" s="27">
        <v>0</v>
      </c>
      <c r="Z323" s="28">
        <v>0</v>
      </c>
      <c r="AA323" s="396">
        <v>0</v>
      </c>
      <c r="AB323" s="261" t="s">
        <v>448</v>
      </c>
      <c r="AC323" s="200"/>
    </row>
    <row r="324" spans="1:29" s="20" customFormat="1" x14ac:dyDescent="0.3">
      <c r="A324" s="370">
        <v>45613</v>
      </c>
      <c r="B324" s="37">
        <v>1.7</v>
      </c>
      <c r="C324" s="14">
        <v>2.5</v>
      </c>
      <c r="D324" s="14">
        <v>2</v>
      </c>
      <c r="E324" s="14">
        <v>3.9</v>
      </c>
      <c r="F324" s="14">
        <v>1.3</v>
      </c>
      <c r="G324" s="50">
        <f t="shared" si="16"/>
        <v>2.5999999999999996</v>
      </c>
      <c r="H324" s="50">
        <f t="shared" si="17"/>
        <v>2.0499999999999998</v>
      </c>
      <c r="I324" s="60">
        <v>2.4021542738012673</v>
      </c>
      <c r="J324" s="165">
        <v>2.9</v>
      </c>
      <c r="K324" s="14">
        <v>1.1000000000000001</v>
      </c>
      <c r="L324" s="50">
        <v>1.7022932592077797</v>
      </c>
      <c r="M324" s="66">
        <v>99.4</v>
      </c>
      <c r="N324" s="24">
        <v>90.1</v>
      </c>
      <c r="O324" s="62">
        <v>95.141973592772445</v>
      </c>
      <c r="P324" s="377">
        <v>1017.698</v>
      </c>
      <c r="Q324" s="21">
        <v>1009.508</v>
      </c>
      <c r="R324" s="383">
        <v>1012.6401228197651</v>
      </c>
      <c r="S324" s="54">
        <v>10.9</v>
      </c>
      <c r="T324" s="47">
        <v>6.2533332999999995</v>
      </c>
      <c r="U324" s="25">
        <v>3.7716690857557795</v>
      </c>
      <c r="V324" s="175" t="s">
        <v>263</v>
      </c>
      <c r="W324" s="198"/>
      <c r="X324" s="26">
        <v>0</v>
      </c>
      <c r="Y324" s="27">
        <v>0</v>
      </c>
      <c r="Z324" s="28">
        <v>0</v>
      </c>
      <c r="AA324" s="396">
        <v>0</v>
      </c>
      <c r="AB324" s="261" t="s">
        <v>448</v>
      </c>
      <c r="AC324" s="200"/>
    </row>
    <row r="325" spans="1:29" s="20" customFormat="1" x14ac:dyDescent="0.3">
      <c r="A325" s="370">
        <v>45614</v>
      </c>
      <c r="B325" s="37">
        <v>1.2</v>
      </c>
      <c r="C325" s="14">
        <v>3</v>
      </c>
      <c r="D325" s="14">
        <v>2.2000000000000002</v>
      </c>
      <c r="E325" s="14">
        <v>3.6</v>
      </c>
      <c r="F325" s="14">
        <v>1</v>
      </c>
      <c r="G325" s="50">
        <f t="shared" si="16"/>
        <v>2.6</v>
      </c>
      <c r="H325" s="50">
        <f t="shared" si="17"/>
        <v>2.1500000000000004</v>
      </c>
      <c r="I325" s="60">
        <v>1.9452777777777694</v>
      </c>
      <c r="J325" s="165">
        <v>2.9</v>
      </c>
      <c r="K325" s="14">
        <v>1</v>
      </c>
      <c r="L325" s="50">
        <v>1.8264583333333264</v>
      </c>
      <c r="M325" s="66">
        <v>100</v>
      </c>
      <c r="N325" s="24">
        <v>94.7</v>
      </c>
      <c r="O325" s="62">
        <v>99.173402777777866</v>
      </c>
      <c r="P325" s="377">
        <v>1012.504</v>
      </c>
      <c r="Q325" s="21">
        <v>1008.9</v>
      </c>
      <c r="R325" s="383">
        <v>1010.6868073859519</v>
      </c>
      <c r="S325" s="54">
        <v>8.8000000000000007</v>
      </c>
      <c r="T325" s="47">
        <v>6.0999999999999988</v>
      </c>
      <c r="U325" s="25">
        <v>2.2424933606082673</v>
      </c>
      <c r="V325" s="175" t="s">
        <v>208</v>
      </c>
      <c r="W325" s="198" t="s">
        <v>214</v>
      </c>
      <c r="X325" s="26">
        <v>6</v>
      </c>
      <c r="Y325" s="27">
        <v>2.2000000000000002</v>
      </c>
      <c r="Z325" s="28">
        <v>0</v>
      </c>
      <c r="AA325" s="396">
        <v>0</v>
      </c>
      <c r="AB325" s="261" t="s">
        <v>450</v>
      </c>
      <c r="AC325" s="200"/>
    </row>
    <row r="326" spans="1:29" s="20" customFormat="1" x14ac:dyDescent="0.3">
      <c r="A326" s="370">
        <v>45615</v>
      </c>
      <c r="B326" s="37">
        <v>2.2999999999999998</v>
      </c>
      <c r="C326" s="14">
        <v>4</v>
      </c>
      <c r="D326" s="14">
        <v>5.6</v>
      </c>
      <c r="E326" s="14">
        <v>6.1</v>
      </c>
      <c r="F326" s="14">
        <v>2</v>
      </c>
      <c r="G326" s="50">
        <f t="shared" si="16"/>
        <v>4.0999999999999996</v>
      </c>
      <c r="H326" s="50">
        <f t="shared" si="17"/>
        <v>4.375</v>
      </c>
      <c r="I326" s="60">
        <v>3.8943710910354512</v>
      </c>
      <c r="J326" s="165">
        <v>6</v>
      </c>
      <c r="K326" s="14">
        <v>2</v>
      </c>
      <c r="L326" s="50">
        <v>3.771369006254349</v>
      </c>
      <c r="M326" s="66">
        <v>100</v>
      </c>
      <c r="N326" s="24">
        <v>94.4</v>
      </c>
      <c r="O326" s="62">
        <v>99.164558721334373</v>
      </c>
      <c r="P326" s="377">
        <v>1012.896</v>
      </c>
      <c r="Q326" s="21">
        <v>998.66920000000005</v>
      </c>
      <c r="R326" s="383">
        <v>1008.2865044299201</v>
      </c>
      <c r="S326" s="54">
        <v>11.2</v>
      </c>
      <c r="T326" s="47">
        <v>7.0833332999999996</v>
      </c>
      <c r="U326" s="25">
        <v>2.3593923979665954</v>
      </c>
      <c r="V326" s="175" t="s">
        <v>208</v>
      </c>
      <c r="W326" s="198" t="s">
        <v>214</v>
      </c>
      <c r="X326" s="26">
        <v>12</v>
      </c>
      <c r="Y326" s="27">
        <v>3.8</v>
      </c>
      <c r="Z326" s="28">
        <v>0</v>
      </c>
      <c r="AA326" s="396">
        <v>0</v>
      </c>
      <c r="AB326" s="261" t="s">
        <v>450</v>
      </c>
      <c r="AC326" s="200"/>
    </row>
    <row r="327" spans="1:29" s="20" customFormat="1" x14ac:dyDescent="0.3">
      <c r="A327" s="370">
        <v>45616</v>
      </c>
      <c r="B327" s="37">
        <v>7.4</v>
      </c>
      <c r="C327" s="14">
        <v>3.1</v>
      </c>
      <c r="D327" s="14">
        <v>-0.4</v>
      </c>
      <c r="E327" s="14">
        <v>8.6999999999999993</v>
      </c>
      <c r="F327" s="14">
        <v>-2.8</v>
      </c>
      <c r="G327" s="50">
        <f t="shared" si="16"/>
        <v>11.5</v>
      </c>
      <c r="H327" s="50">
        <f t="shared" si="17"/>
        <v>2.4249999999999998</v>
      </c>
      <c r="I327" s="60">
        <v>3.9039583333333332</v>
      </c>
      <c r="J327" s="165">
        <v>8.1</v>
      </c>
      <c r="K327" s="14">
        <v>-2.9</v>
      </c>
      <c r="L327" s="50">
        <v>3.6221527777777629</v>
      </c>
      <c r="M327" s="66">
        <v>100</v>
      </c>
      <c r="N327" s="24">
        <v>88.6</v>
      </c>
      <c r="O327" s="62">
        <v>98.047083333333347</v>
      </c>
      <c r="P327" s="377">
        <v>998.76310000000001</v>
      </c>
      <c r="Q327" s="21">
        <v>987.69600000000003</v>
      </c>
      <c r="R327" s="383">
        <v>993.93000043636607</v>
      </c>
      <c r="S327" s="54">
        <v>12.2</v>
      </c>
      <c r="T327" s="47">
        <v>7.738333299999999</v>
      </c>
      <c r="U327" s="25">
        <v>2.8783272712727208</v>
      </c>
      <c r="V327" s="175" t="s">
        <v>209</v>
      </c>
      <c r="W327" s="198" t="s">
        <v>214</v>
      </c>
      <c r="X327" s="26">
        <v>36</v>
      </c>
      <c r="Y327" s="27">
        <v>7</v>
      </c>
      <c r="Z327" s="28">
        <v>0</v>
      </c>
      <c r="AA327" s="396">
        <v>0</v>
      </c>
      <c r="AB327" s="261" t="s">
        <v>261</v>
      </c>
      <c r="AC327" s="200"/>
    </row>
    <row r="328" spans="1:29" s="20" customFormat="1" x14ac:dyDescent="0.3">
      <c r="A328" s="370">
        <v>45617</v>
      </c>
      <c r="B328" s="37">
        <v>-3</v>
      </c>
      <c r="C328" s="14">
        <v>1.9</v>
      </c>
      <c r="D328" s="14">
        <v>-2.2999999999999998</v>
      </c>
      <c r="E328" s="14">
        <v>4.9000000000000004</v>
      </c>
      <c r="F328" s="14">
        <v>-3.2</v>
      </c>
      <c r="G328" s="50">
        <f t="shared" si="16"/>
        <v>8.1000000000000014</v>
      </c>
      <c r="H328" s="50">
        <f t="shared" si="17"/>
        <v>-1.4249999999999998</v>
      </c>
      <c r="I328" s="60">
        <v>-0.51611111111110985</v>
      </c>
      <c r="J328" s="165">
        <v>2.2000000000000002</v>
      </c>
      <c r="K328" s="14">
        <v>-3.3</v>
      </c>
      <c r="L328" s="50">
        <v>-1.1490972222222244</v>
      </c>
      <c r="M328" s="66">
        <v>100</v>
      </c>
      <c r="N328" s="24">
        <v>79.7</v>
      </c>
      <c r="O328" s="62">
        <v>95.783541666666736</v>
      </c>
      <c r="P328" s="377">
        <v>1002.248</v>
      </c>
      <c r="Q328" s="21">
        <v>997.86300000000006</v>
      </c>
      <c r="R328" s="383">
        <v>1000.3739630246026</v>
      </c>
      <c r="S328" s="54">
        <v>8.5</v>
      </c>
      <c r="T328" s="47">
        <v>6.0366666999999996</v>
      </c>
      <c r="U328" s="25">
        <v>1.0412807510853841</v>
      </c>
      <c r="V328" s="175" t="s">
        <v>209</v>
      </c>
      <c r="W328" s="198" t="s">
        <v>222</v>
      </c>
      <c r="X328" s="26">
        <v>6</v>
      </c>
      <c r="Y328" s="27">
        <v>1.8</v>
      </c>
      <c r="Z328" s="28">
        <v>0</v>
      </c>
      <c r="AA328" s="396">
        <v>0</v>
      </c>
      <c r="AB328" s="261" t="s">
        <v>451</v>
      </c>
      <c r="AC328" s="200"/>
    </row>
    <row r="329" spans="1:29" s="20" customFormat="1" x14ac:dyDescent="0.3">
      <c r="A329" s="370">
        <v>45618</v>
      </c>
      <c r="B329" s="37">
        <v>-0.1</v>
      </c>
      <c r="C329" s="14">
        <v>1.3</v>
      </c>
      <c r="D329" s="14">
        <v>0.1</v>
      </c>
      <c r="E329" s="14">
        <v>1.7</v>
      </c>
      <c r="F329" s="14">
        <v>-0.8</v>
      </c>
      <c r="G329" s="50">
        <f t="shared" si="16"/>
        <v>2.5</v>
      </c>
      <c r="H329" s="50">
        <f t="shared" si="17"/>
        <v>0.35</v>
      </c>
      <c r="I329" s="60">
        <v>0.33766504517025686</v>
      </c>
      <c r="J329" s="165">
        <v>1.2</v>
      </c>
      <c r="K329" s="14">
        <v>-2</v>
      </c>
      <c r="L329" s="50">
        <v>-0.57470465601111598</v>
      </c>
      <c r="M329" s="66">
        <v>100</v>
      </c>
      <c r="N329" s="24">
        <v>85.8</v>
      </c>
      <c r="O329" s="62">
        <v>93.658790826963127</v>
      </c>
      <c r="P329" s="377">
        <v>1006.614</v>
      </c>
      <c r="Q329" s="21">
        <v>994.21669999999995</v>
      </c>
      <c r="R329" s="383">
        <v>999.03240574127926</v>
      </c>
      <c r="S329" s="54">
        <v>10.199999999999999</v>
      </c>
      <c r="T329" s="47">
        <v>6.2999999999999989</v>
      </c>
      <c r="U329" s="25">
        <v>1.7256782943314042</v>
      </c>
      <c r="V329" s="175" t="s">
        <v>210</v>
      </c>
      <c r="W329" s="198" t="s">
        <v>222</v>
      </c>
      <c r="X329" s="26">
        <v>6</v>
      </c>
      <c r="Y329" s="27">
        <v>0.3</v>
      </c>
      <c r="Z329" s="28">
        <v>1</v>
      </c>
      <c r="AA329" s="396">
        <v>1</v>
      </c>
      <c r="AB329" s="261" t="s">
        <v>235</v>
      </c>
      <c r="AC329" s="200"/>
    </row>
    <row r="330" spans="1:29" s="20" customFormat="1" x14ac:dyDescent="0.3">
      <c r="A330" s="370">
        <v>45619</v>
      </c>
      <c r="B330" s="37">
        <v>-1.6</v>
      </c>
      <c r="C330" s="14">
        <v>4.0999999999999996</v>
      </c>
      <c r="D330" s="14">
        <v>-4</v>
      </c>
      <c r="E330" s="14">
        <v>4.8</v>
      </c>
      <c r="F330" s="14">
        <v>-6</v>
      </c>
      <c r="G330" s="50">
        <f t="shared" si="16"/>
        <v>10.8</v>
      </c>
      <c r="H330" s="50">
        <f t="shared" si="17"/>
        <v>-1.375</v>
      </c>
      <c r="I330" s="60">
        <v>-0.93729166666666719</v>
      </c>
      <c r="J330" s="165">
        <v>0.8</v>
      </c>
      <c r="K330" s="14">
        <v>-6.3</v>
      </c>
      <c r="L330" s="50">
        <v>-2.1777777777777692</v>
      </c>
      <c r="M330" s="66">
        <v>100</v>
      </c>
      <c r="N330" s="24">
        <v>71.2</v>
      </c>
      <c r="O330" s="62">
        <v>91.74388888888879</v>
      </c>
      <c r="P330" s="377">
        <v>1028.7860000000001</v>
      </c>
      <c r="Q330" s="21">
        <v>1006.5119999999999</v>
      </c>
      <c r="R330" s="383">
        <v>1018.371008000003</v>
      </c>
      <c r="S330" s="54">
        <v>6.1</v>
      </c>
      <c r="T330" s="47">
        <v>3.9133333000000001</v>
      </c>
      <c r="U330" s="25">
        <v>0.73562424072727162</v>
      </c>
      <c r="V330" s="175" t="s">
        <v>209</v>
      </c>
      <c r="W330" s="198"/>
      <c r="X330" s="26">
        <v>0</v>
      </c>
      <c r="Y330" s="27">
        <v>0</v>
      </c>
      <c r="Z330" s="28">
        <v>0</v>
      </c>
      <c r="AA330" s="396">
        <v>0.5</v>
      </c>
      <c r="AB330" s="261" t="s">
        <v>452</v>
      </c>
      <c r="AC330" s="200"/>
    </row>
    <row r="331" spans="1:29" s="20" customFormat="1" x14ac:dyDescent="0.3">
      <c r="A331" s="370">
        <v>45620</v>
      </c>
      <c r="B331" s="37">
        <v>-2.2000000000000002</v>
      </c>
      <c r="C331" s="14">
        <v>-0.1</v>
      </c>
      <c r="D331" s="14">
        <v>0.7</v>
      </c>
      <c r="E331" s="14">
        <v>0.8</v>
      </c>
      <c r="F331" s="14">
        <v>-5.6</v>
      </c>
      <c r="G331" s="50">
        <f t="shared" si="16"/>
        <v>6.3999999999999995</v>
      </c>
      <c r="H331" s="50">
        <f t="shared" si="17"/>
        <v>-0.22500000000000009</v>
      </c>
      <c r="I331" s="60">
        <v>-0.79527777777777087</v>
      </c>
      <c r="J331" s="165">
        <v>-0.3</v>
      </c>
      <c r="K331" s="14">
        <v>-5.6</v>
      </c>
      <c r="L331" s="50">
        <v>-1.5678472222222288</v>
      </c>
      <c r="M331" s="66">
        <v>100</v>
      </c>
      <c r="N331" s="24">
        <v>88.8</v>
      </c>
      <c r="O331" s="62">
        <v>94.529930555555339</v>
      </c>
      <c r="P331" s="377">
        <v>1029.58</v>
      </c>
      <c r="Q331" s="21">
        <v>1027.1579999999999</v>
      </c>
      <c r="R331" s="383">
        <v>1028.4649708242207</v>
      </c>
      <c r="S331" s="54">
        <v>12.6</v>
      </c>
      <c r="T331" s="47">
        <v>6.4933333000000006</v>
      </c>
      <c r="U331" s="25">
        <v>3.197070263311431</v>
      </c>
      <c r="V331" s="175" t="s">
        <v>208</v>
      </c>
      <c r="W331" s="198" t="s">
        <v>449</v>
      </c>
      <c r="X331" s="26">
        <v>0</v>
      </c>
      <c r="Y331" s="27">
        <v>0</v>
      </c>
      <c r="Z331" s="28">
        <v>0</v>
      </c>
      <c r="AA331" s="396">
        <v>0</v>
      </c>
      <c r="AB331" s="261" t="s">
        <v>252</v>
      </c>
      <c r="AC331" s="200"/>
    </row>
    <row r="332" spans="1:29" s="20" customFormat="1" x14ac:dyDescent="0.3">
      <c r="A332" s="370">
        <v>45621</v>
      </c>
      <c r="B332" s="37">
        <v>-2.8</v>
      </c>
      <c r="C332" s="14">
        <v>6.6</v>
      </c>
      <c r="D332" s="14">
        <v>3.2</v>
      </c>
      <c r="E332" s="14">
        <v>6.7</v>
      </c>
      <c r="F332" s="14">
        <v>-2.9</v>
      </c>
      <c r="G332" s="50">
        <f t="shared" si="16"/>
        <v>9.6</v>
      </c>
      <c r="H332" s="50">
        <f t="shared" si="17"/>
        <v>2.5499999999999998</v>
      </c>
      <c r="I332" s="60">
        <v>2.0103544127866528</v>
      </c>
      <c r="J332" s="165">
        <v>3.1</v>
      </c>
      <c r="K332" s="14">
        <v>-2.9</v>
      </c>
      <c r="L332" s="50">
        <v>0.40854760250173977</v>
      </c>
      <c r="M332" s="66">
        <v>100</v>
      </c>
      <c r="N332" s="24">
        <v>74</v>
      </c>
      <c r="O332" s="62">
        <v>89.712578179291285</v>
      </c>
      <c r="P332" s="377">
        <v>1029.1030000000001</v>
      </c>
      <c r="Q332" s="21">
        <v>1021.514</v>
      </c>
      <c r="R332" s="383">
        <v>1026.3677846265409</v>
      </c>
      <c r="S332" s="54">
        <v>7.8</v>
      </c>
      <c r="T332" s="47">
        <v>4.5266666999999998</v>
      </c>
      <c r="U332" s="25">
        <v>1.4525864147933363</v>
      </c>
      <c r="V332" s="175" t="s">
        <v>208</v>
      </c>
      <c r="W332" s="198"/>
      <c r="X332" s="26">
        <v>0</v>
      </c>
      <c r="Y332" s="27">
        <v>0</v>
      </c>
      <c r="Z332" s="28">
        <v>0</v>
      </c>
      <c r="AA332" s="396">
        <v>0</v>
      </c>
      <c r="AB332" s="261" t="s">
        <v>258</v>
      </c>
      <c r="AC332" s="200"/>
    </row>
    <row r="333" spans="1:29" s="20" customFormat="1" x14ac:dyDescent="0.3">
      <c r="A333" s="370">
        <v>45622</v>
      </c>
      <c r="B333" s="37">
        <v>-0.9</v>
      </c>
      <c r="C333" s="14">
        <v>4.4000000000000004</v>
      </c>
      <c r="D333" s="14">
        <v>2.2999999999999998</v>
      </c>
      <c r="E333" s="14">
        <v>4.5999999999999996</v>
      </c>
      <c r="F333" s="14">
        <v>-1.8</v>
      </c>
      <c r="G333" s="50">
        <f t="shared" si="16"/>
        <v>6.3999999999999995</v>
      </c>
      <c r="H333" s="50">
        <f t="shared" si="17"/>
        <v>2.0249999999999999</v>
      </c>
      <c r="I333" s="60">
        <v>1.7038888888888968</v>
      </c>
      <c r="J333" s="165">
        <v>3.4</v>
      </c>
      <c r="K333" s="14">
        <v>-2.5</v>
      </c>
      <c r="L333" s="50">
        <v>1.1553472222222263</v>
      </c>
      <c r="M333" s="66">
        <v>100</v>
      </c>
      <c r="N333" s="24">
        <v>85.6</v>
      </c>
      <c r="O333" s="62">
        <v>96.247638888889028</v>
      </c>
      <c r="P333" s="377">
        <v>1021.9</v>
      </c>
      <c r="Q333" s="21">
        <v>1017.509</v>
      </c>
      <c r="R333" s="383">
        <v>1019.5214162436561</v>
      </c>
      <c r="S333" s="54">
        <v>3.7</v>
      </c>
      <c r="T333" s="47">
        <v>2.3466667000000001</v>
      </c>
      <c r="U333" s="25">
        <v>0.38489001421319929</v>
      </c>
      <c r="V333" s="175" t="s">
        <v>209</v>
      </c>
      <c r="W333" s="198" t="s">
        <v>214</v>
      </c>
      <c r="X333" s="26">
        <v>6</v>
      </c>
      <c r="Y333" s="27">
        <v>0.8</v>
      </c>
      <c r="Z333" s="28">
        <v>0</v>
      </c>
      <c r="AA333" s="396">
        <v>0</v>
      </c>
      <c r="AB333" s="261" t="s">
        <v>252</v>
      </c>
      <c r="AC333" s="200"/>
    </row>
    <row r="334" spans="1:29" s="20" customFormat="1" x14ac:dyDescent="0.3">
      <c r="A334" s="370">
        <v>45623</v>
      </c>
      <c r="B334" s="37">
        <v>2.8</v>
      </c>
      <c r="C334" s="14">
        <v>10.1</v>
      </c>
      <c r="D334" s="14">
        <v>5</v>
      </c>
      <c r="E334" s="14">
        <v>10.5</v>
      </c>
      <c r="F334" s="14">
        <v>2.4</v>
      </c>
      <c r="G334" s="50">
        <f t="shared" si="16"/>
        <v>8.1</v>
      </c>
      <c r="H334" s="50">
        <f t="shared" si="17"/>
        <v>5.7249999999999996</v>
      </c>
      <c r="I334" s="60">
        <v>4.8949270326615872</v>
      </c>
      <c r="J334" s="165">
        <v>7.9</v>
      </c>
      <c r="K334" s="14">
        <v>2.4</v>
      </c>
      <c r="L334" s="50">
        <v>4.3609451007644306</v>
      </c>
      <c r="M334" s="66">
        <v>100</v>
      </c>
      <c r="N334" s="24">
        <v>82.2</v>
      </c>
      <c r="O334" s="62">
        <v>96.565392633773158</v>
      </c>
      <c r="P334" s="377">
        <v>1025.5129999999999</v>
      </c>
      <c r="Q334" s="21">
        <v>1021.473</v>
      </c>
      <c r="R334" s="383">
        <v>1024.0142418062603</v>
      </c>
      <c r="S334" s="54">
        <v>6.5</v>
      </c>
      <c r="T334" s="47">
        <v>4.1666666999999995</v>
      </c>
      <c r="U334" s="25">
        <v>0.82828356445739471</v>
      </c>
      <c r="V334" s="175" t="s">
        <v>244</v>
      </c>
      <c r="W334" s="198"/>
      <c r="X334" s="26">
        <v>0</v>
      </c>
      <c r="Y334" s="27">
        <v>0</v>
      </c>
      <c r="Z334" s="28">
        <v>0</v>
      </c>
      <c r="AA334" s="396">
        <v>0</v>
      </c>
      <c r="AB334" s="261" t="s">
        <v>251</v>
      </c>
      <c r="AC334" s="200"/>
    </row>
    <row r="335" spans="1:29" s="20" customFormat="1" x14ac:dyDescent="0.3">
      <c r="A335" s="370">
        <v>45624</v>
      </c>
      <c r="B335" s="37">
        <v>4.0999999999999996</v>
      </c>
      <c r="C335" s="14">
        <v>3.6</v>
      </c>
      <c r="D335" s="14">
        <v>3.2</v>
      </c>
      <c r="E335" s="14">
        <v>4.5</v>
      </c>
      <c r="F335" s="14">
        <v>2.7</v>
      </c>
      <c r="G335" s="50">
        <f t="shared" si="16"/>
        <v>1.7999999999999998</v>
      </c>
      <c r="H335" s="50">
        <f t="shared" si="17"/>
        <v>3.5249999999999999</v>
      </c>
      <c r="I335" s="60">
        <v>3.7600694444444396</v>
      </c>
      <c r="J335" s="165">
        <v>4.0999999999999996</v>
      </c>
      <c r="K335" s="14">
        <v>2.7</v>
      </c>
      <c r="L335" s="50">
        <v>3.6260416666666515</v>
      </c>
      <c r="M335" s="66">
        <v>100</v>
      </c>
      <c r="N335" s="24">
        <v>96.7</v>
      </c>
      <c r="O335" s="62">
        <v>99.069583333333341</v>
      </c>
      <c r="P335" s="377">
        <v>1024.771</v>
      </c>
      <c r="Q335" s="21">
        <v>1016.623</v>
      </c>
      <c r="R335" s="383">
        <v>1019.5205657992556</v>
      </c>
      <c r="S335" s="54">
        <v>10.9</v>
      </c>
      <c r="T335" s="47">
        <v>6.7499999999999982</v>
      </c>
      <c r="U335" s="25">
        <v>2.6462329546468411</v>
      </c>
      <c r="V335" s="175" t="s">
        <v>208</v>
      </c>
      <c r="W335" s="198"/>
      <c r="X335" s="26">
        <v>0</v>
      </c>
      <c r="Y335" s="27">
        <v>0</v>
      </c>
      <c r="Z335" s="28">
        <v>0</v>
      </c>
      <c r="AA335" s="396">
        <v>0</v>
      </c>
      <c r="AB335" s="261" t="s">
        <v>448</v>
      </c>
      <c r="AC335" s="200"/>
    </row>
    <row r="336" spans="1:29" s="20" customFormat="1" x14ac:dyDescent="0.3">
      <c r="A336" s="370">
        <v>45625</v>
      </c>
      <c r="B336" s="37">
        <v>2.7</v>
      </c>
      <c r="C336" s="14">
        <v>4.8</v>
      </c>
      <c r="D336" s="14">
        <v>2.1</v>
      </c>
      <c r="E336" s="14">
        <v>5.6</v>
      </c>
      <c r="F336" s="14">
        <v>0.2</v>
      </c>
      <c r="G336" s="50">
        <f t="shared" si="16"/>
        <v>5.3999999999999995</v>
      </c>
      <c r="H336" s="50">
        <f t="shared" si="17"/>
        <v>2.9249999999999998</v>
      </c>
      <c r="I336" s="60">
        <v>3.2529166666666955</v>
      </c>
      <c r="J336" s="165">
        <v>5.6</v>
      </c>
      <c r="K336" s="14">
        <v>0.2</v>
      </c>
      <c r="L336" s="50">
        <v>3.2529166666666955</v>
      </c>
      <c r="M336" s="66">
        <v>100</v>
      </c>
      <c r="N336" s="24">
        <v>100</v>
      </c>
      <c r="O336" s="62">
        <v>100</v>
      </c>
      <c r="P336" s="377">
        <v>1029.9469999999999</v>
      </c>
      <c r="Q336" s="21">
        <v>1017.8440000000001</v>
      </c>
      <c r="R336" s="383">
        <v>1023.1614969230798</v>
      </c>
      <c r="S336" s="54">
        <v>2.7</v>
      </c>
      <c r="T336" s="47">
        <v>1.8599999999999999</v>
      </c>
      <c r="U336" s="25">
        <v>0.4792435861538456</v>
      </c>
      <c r="V336" s="175" t="s">
        <v>210</v>
      </c>
      <c r="W336" s="198" t="s">
        <v>214</v>
      </c>
      <c r="X336" s="26">
        <v>6</v>
      </c>
      <c r="Y336" s="27">
        <v>1.1000000000000001</v>
      </c>
      <c r="Z336" s="28">
        <v>0</v>
      </c>
      <c r="AA336" s="396">
        <v>0</v>
      </c>
      <c r="AB336" s="261" t="s">
        <v>252</v>
      </c>
      <c r="AC336" s="200"/>
    </row>
    <row r="337" spans="1:29" s="257" customFormat="1" ht="15" thickBot="1" x14ac:dyDescent="0.35">
      <c r="A337" s="370">
        <v>45626</v>
      </c>
      <c r="B337" s="38">
        <v>4.3</v>
      </c>
      <c r="C337" s="22">
        <v>6.5</v>
      </c>
      <c r="D337" s="22">
        <v>2.2000000000000002</v>
      </c>
      <c r="E337" s="22">
        <v>6.6</v>
      </c>
      <c r="F337" s="22">
        <v>-1.5</v>
      </c>
      <c r="G337" s="50">
        <f t="shared" si="16"/>
        <v>8.1</v>
      </c>
      <c r="H337" s="50">
        <f>(B337+C337+2*D337)/4</f>
        <v>3.8000000000000003</v>
      </c>
      <c r="I337" s="61">
        <v>3.9316886726893605</v>
      </c>
      <c r="J337" s="166">
        <v>4.8</v>
      </c>
      <c r="K337" s="22">
        <v>-1.5</v>
      </c>
      <c r="L337" s="256">
        <v>3.0469075747046501</v>
      </c>
      <c r="M337" s="67">
        <v>100</v>
      </c>
      <c r="N337" s="52">
        <v>86.3</v>
      </c>
      <c r="O337" s="63">
        <v>94.109451007644211</v>
      </c>
      <c r="P337" s="381">
        <v>1033.2550000000001</v>
      </c>
      <c r="Q337" s="53">
        <v>1029.597</v>
      </c>
      <c r="R337" s="388">
        <v>1032.0885775673678</v>
      </c>
      <c r="S337" s="56">
        <v>6.1</v>
      </c>
      <c r="T337" s="49">
        <v>3.1833332999999997</v>
      </c>
      <c r="U337" s="39">
        <v>1.2886744340859515</v>
      </c>
      <c r="V337" s="176" t="s">
        <v>210</v>
      </c>
      <c r="W337" s="199"/>
      <c r="X337" s="40">
        <v>0</v>
      </c>
      <c r="Y337" s="41">
        <v>0</v>
      </c>
      <c r="Z337" s="42">
        <v>0</v>
      </c>
      <c r="AA337" s="399">
        <v>0</v>
      </c>
      <c r="AB337" s="262" t="s">
        <v>252</v>
      </c>
      <c r="AC337" s="404"/>
    </row>
    <row r="338" spans="1:29" s="337" customFormat="1" x14ac:dyDescent="0.3">
      <c r="A338" s="370">
        <v>45627</v>
      </c>
      <c r="B338" s="313">
        <v>-1.6</v>
      </c>
      <c r="C338" s="314">
        <v>1.6</v>
      </c>
      <c r="D338" s="314">
        <v>-2.2000000000000002</v>
      </c>
      <c r="E338" s="314">
        <v>2.9</v>
      </c>
      <c r="F338" s="314">
        <v>-2.2999999999999998</v>
      </c>
      <c r="G338" s="315">
        <f t="shared" si="16"/>
        <v>5.1999999999999993</v>
      </c>
      <c r="H338" s="315">
        <f>(B338+C338+2*D338)/4</f>
        <v>-1.1000000000000001</v>
      </c>
      <c r="I338" s="316">
        <v>-0.97413182140325771</v>
      </c>
      <c r="J338" s="336">
        <v>2.5</v>
      </c>
      <c r="K338" s="314">
        <v>-2.2999999999999998</v>
      </c>
      <c r="L338" s="315">
        <v>-0.97569099929128023</v>
      </c>
      <c r="M338" s="317">
        <v>100</v>
      </c>
      <c r="N338" s="318">
        <v>97</v>
      </c>
      <c r="O338" s="319">
        <v>99.987668320340163</v>
      </c>
      <c r="P338" s="380">
        <v>1032.90390219189</v>
      </c>
      <c r="Q338" s="320">
        <v>1027.38071785638</v>
      </c>
      <c r="R338" s="386">
        <v>1030.0846519290599</v>
      </c>
      <c r="S338" s="290">
        <v>1.7000000013600001</v>
      </c>
      <c r="T338" s="321">
        <v>0.97000000077600002</v>
      </c>
      <c r="U338" s="291">
        <v>0.16028963427457388</v>
      </c>
      <c r="V338" s="292" t="s">
        <v>209</v>
      </c>
      <c r="W338" s="335"/>
      <c r="X338" s="322">
        <v>0</v>
      </c>
      <c r="Y338" s="323">
        <v>0</v>
      </c>
      <c r="Z338" s="324">
        <v>0</v>
      </c>
      <c r="AA338" s="398">
        <v>0</v>
      </c>
      <c r="AB338" s="325" t="s">
        <v>453</v>
      </c>
    </row>
    <row r="339" spans="1:29" x14ac:dyDescent="0.3">
      <c r="A339" s="370">
        <v>45628</v>
      </c>
      <c r="B339" s="37">
        <v>-3.2</v>
      </c>
      <c r="C339" s="14">
        <v>2.8</v>
      </c>
      <c r="D339" s="14">
        <v>0.9</v>
      </c>
      <c r="E339" s="14">
        <v>2.9</v>
      </c>
      <c r="F339" s="14">
        <v>-3.4</v>
      </c>
      <c r="G339" s="58">
        <f t="shared" si="16"/>
        <v>6.3</v>
      </c>
      <c r="H339" s="58">
        <f t="shared" ref="H339:H366" si="18">(B339+C339+2*D339)/4</f>
        <v>0.34999999999999992</v>
      </c>
      <c r="I339" s="60">
        <v>-0.37451388888889225</v>
      </c>
      <c r="J339" s="165">
        <v>2.9</v>
      </c>
      <c r="K339" s="14">
        <v>-3.4</v>
      </c>
      <c r="L339" s="50">
        <v>-0.37451388888889225</v>
      </c>
      <c r="M339" s="66">
        <v>100</v>
      </c>
      <c r="N339" s="24">
        <v>100</v>
      </c>
      <c r="O339" s="62">
        <v>100</v>
      </c>
      <c r="P339" s="377">
        <v>1027.59476062986</v>
      </c>
      <c r="Q339" s="21">
        <v>1021.2671939217799</v>
      </c>
      <c r="R339" s="383">
        <v>1024.2963859723777</v>
      </c>
      <c r="S339" s="54">
        <v>3.70000000296</v>
      </c>
      <c r="T339" s="47">
        <v>2.6166666687599998</v>
      </c>
      <c r="U339" s="25">
        <v>0.59374186880702717</v>
      </c>
      <c r="V339" s="175" t="s">
        <v>244</v>
      </c>
      <c r="W339" s="196" t="s">
        <v>443</v>
      </c>
      <c r="X339" s="16">
        <v>6</v>
      </c>
      <c r="Y339" s="17">
        <v>0.2</v>
      </c>
      <c r="Z339" s="18">
        <v>0</v>
      </c>
      <c r="AA339" s="394">
        <v>0</v>
      </c>
      <c r="AB339" s="260" t="s">
        <v>450</v>
      </c>
    </row>
    <row r="340" spans="1:29" x14ac:dyDescent="0.3">
      <c r="A340" s="370">
        <v>45629</v>
      </c>
      <c r="B340" s="37">
        <v>0.6</v>
      </c>
      <c r="C340" s="14">
        <v>5</v>
      </c>
      <c r="D340" s="14">
        <v>2.5</v>
      </c>
      <c r="E340" s="14">
        <v>5.4</v>
      </c>
      <c r="F340" s="14">
        <v>0.2</v>
      </c>
      <c r="G340" s="58">
        <f t="shared" si="16"/>
        <v>5.2</v>
      </c>
      <c r="H340" s="58">
        <f t="shared" si="18"/>
        <v>2.65</v>
      </c>
      <c r="I340" s="60">
        <v>2.3882557331480321</v>
      </c>
      <c r="J340" s="165">
        <v>4.4000000000000004</v>
      </c>
      <c r="K340" s="14">
        <v>0.2</v>
      </c>
      <c r="L340" s="50">
        <v>1.9903405142460211</v>
      </c>
      <c r="M340" s="66">
        <v>100</v>
      </c>
      <c r="N340" s="24">
        <v>88.3</v>
      </c>
      <c r="O340" s="62">
        <v>97.310840861709536</v>
      </c>
      <c r="P340" s="377">
        <v>1021.50620663852</v>
      </c>
      <c r="Q340" s="21">
        <v>1017.67929786134</v>
      </c>
      <c r="R340" s="383">
        <v>1019.2215434557528</v>
      </c>
      <c r="S340" s="54">
        <v>5.4000000043199998</v>
      </c>
      <c r="T340" s="47">
        <v>3.4100000027279997</v>
      </c>
      <c r="U340" s="25">
        <v>0.83602732729940188</v>
      </c>
      <c r="V340" s="175" t="s">
        <v>244</v>
      </c>
      <c r="W340" s="196"/>
      <c r="X340" s="16">
        <v>0</v>
      </c>
      <c r="Y340" s="17">
        <v>0</v>
      </c>
      <c r="Z340" s="18">
        <v>0</v>
      </c>
      <c r="AA340" s="394">
        <v>0</v>
      </c>
      <c r="AB340" s="260" t="s">
        <v>260</v>
      </c>
    </row>
    <row r="341" spans="1:29" x14ac:dyDescent="0.3">
      <c r="A341" s="370">
        <v>45630</v>
      </c>
      <c r="B341" s="37">
        <v>1.4</v>
      </c>
      <c r="C341" s="14">
        <v>4.4000000000000004</v>
      </c>
      <c r="D341" s="14">
        <v>2.2999999999999998</v>
      </c>
      <c r="E341" s="14">
        <v>4.5</v>
      </c>
      <c r="F341" s="14">
        <v>1.2</v>
      </c>
      <c r="G341" s="58">
        <f t="shared" si="16"/>
        <v>3.3</v>
      </c>
      <c r="H341" s="58">
        <f t="shared" si="18"/>
        <v>2.6</v>
      </c>
      <c r="I341" s="60">
        <v>2.5702777777777759</v>
      </c>
      <c r="J341" s="165">
        <v>3.9</v>
      </c>
      <c r="K341" s="14">
        <v>1.2</v>
      </c>
      <c r="L341" s="50">
        <v>2.3593749999999787</v>
      </c>
      <c r="M341" s="66">
        <v>100</v>
      </c>
      <c r="N341" s="24">
        <v>91.4</v>
      </c>
      <c r="O341" s="62">
        <v>98.55243055555556</v>
      </c>
      <c r="P341" s="377">
        <v>1024.9989430047699</v>
      </c>
      <c r="Q341" s="21">
        <v>1019.36595520848</v>
      </c>
      <c r="R341" s="383">
        <v>1021.742601332658</v>
      </c>
      <c r="S341" s="55">
        <v>2.0000000016000001</v>
      </c>
      <c r="T341" s="48">
        <v>0.96333333410400024</v>
      </c>
      <c r="U341" s="19">
        <v>0.22323858132533714</v>
      </c>
      <c r="V341" s="175" t="s">
        <v>210</v>
      </c>
      <c r="W341" s="197"/>
      <c r="X341" s="16">
        <v>0</v>
      </c>
      <c r="Y341" s="17">
        <v>0</v>
      </c>
      <c r="Z341" s="18">
        <v>0</v>
      </c>
      <c r="AA341" s="394">
        <v>0</v>
      </c>
      <c r="AB341" s="260" t="s">
        <v>448</v>
      </c>
    </row>
    <row r="342" spans="1:29" x14ac:dyDescent="0.3">
      <c r="A342" s="370">
        <v>45631</v>
      </c>
      <c r="B342" s="37">
        <v>2</v>
      </c>
      <c r="C342" s="14">
        <v>4.7</v>
      </c>
      <c r="D342" s="14">
        <v>2.5</v>
      </c>
      <c r="E342" s="14">
        <v>4.7</v>
      </c>
      <c r="F342" s="14">
        <v>1.9</v>
      </c>
      <c r="G342" s="58">
        <f t="shared" si="16"/>
        <v>2.8000000000000003</v>
      </c>
      <c r="H342" s="58">
        <f t="shared" si="18"/>
        <v>2.9249999999999998</v>
      </c>
      <c r="I342" s="60">
        <v>2.7644197359277198</v>
      </c>
      <c r="J342" s="165">
        <v>4.7</v>
      </c>
      <c r="K342" s="14">
        <v>1.9</v>
      </c>
      <c r="L342" s="50">
        <v>2.708617095205005</v>
      </c>
      <c r="M342" s="66">
        <v>100</v>
      </c>
      <c r="N342" s="24">
        <v>95.8</v>
      </c>
      <c r="O342" s="62">
        <v>99.610423905489881</v>
      </c>
      <c r="P342" s="377">
        <v>1026.0370546121201</v>
      </c>
      <c r="Q342" s="21">
        <v>1022.48792845617</v>
      </c>
      <c r="R342" s="383">
        <v>1024.6951045051098</v>
      </c>
      <c r="S342" s="54">
        <v>5.8000000046400002</v>
      </c>
      <c r="T342" s="47">
        <v>3.4666666694399999</v>
      </c>
      <c r="U342" s="25">
        <v>0.75903030363752966</v>
      </c>
      <c r="V342" s="175" t="s">
        <v>244</v>
      </c>
      <c r="W342" s="197"/>
      <c r="X342" s="16">
        <v>0</v>
      </c>
      <c r="Y342" s="17">
        <v>0</v>
      </c>
      <c r="Z342" s="18">
        <v>0</v>
      </c>
      <c r="AA342" s="394">
        <v>0</v>
      </c>
      <c r="AB342" s="260" t="s">
        <v>450</v>
      </c>
    </row>
    <row r="343" spans="1:29" x14ac:dyDescent="0.3">
      <c r="A343" s="370">
        <v>45632</v>
      </c>
      <c r="B343" s="37">
        <v>1.6</v>
      </c>
      <c r="C343" s="14">
        <v>2.1</v>
      </c>
      <c r="D343" s="14">
        <v>2.2000000000000002</v>
      </c>
      <c r="E343" s="14">
        <v>2.7</v>
      </c>
      <c r="F343" s="14">
        <v>1.4</v>
      </c>
      <c r="G343" s="58">
        <f t="shared" si="16"/>
        <v>1.3000000000000003</v>
      </c>
      <c r="H343" s="58">
        <f t="shared" si="18"/>
        <v>2.0250000000000004</v>
      </c>
      <c r="I343" s="60">
        <v>1.9527083333333286</v>
      </c>
      <c r="J343" s="165">
        <v>2.2999999999999998</v>
      </c>
      <c r="K343" s="14">
        <v>0.9</v>
      </c>
      <c r="L343" s="50">
        <v>1.5279861111111115</v>
      </c>
      <c r="M343" s="66">
        <v>100</v>
      </c>
      <c r="N343" s="24">
        <v>91.7</v>
      </c>
      <c r="O343" s="62">
        <v>97.042569444444581</v>
      </c>
      <c r="P343" s="377">
        <v>1022.55620355823</v>
      </c>
      <c r="Q343" s="21">
        <v>1012.12058776404</v>
      </c>
      <c r="R343" s="383">
        <v>1015.3869290999897</v>
      </c>
      <c r="S343" s="54">
        <v>8.8000000070399995</v>
      </c>
      <c r="T343" s="47">
        <v>6.136666671576001</v>
      </c>
      <c r="U343" s="25">
        <v>2.6766016399062038</v>
      </c>
      <c r="V343" s="175" t="s">
        <v>208</v>
      </c>
      <c r="W343" s="197" t="s">
        <v>221</v>
      </c>
      <c r="X343" s="16">
        <v>6</v>
      </c>
      <c r="Y343" s="17">
        <v>0.2</v>
      </c>
      <c r="Z343" s="18">
        <v>0</v>
      </c>
      <c r="AA343" s="394">
        <v>0</v>
      </c>
      <c r="AB343" s="260" t="s">
        <v>253</v>
      </c>
    </row>
    <row r="344" spans="1:29" x14ac:dyDescent="0.3">
      <c r="A344" s="370">
        <v>45633</v>
      </c>
      <c r="B344" s="37">
        <v>2</v>
      </c>
      <c r="C344" s="14">
        <v>2.5</v>
      </c>
      <c r="D344" s="14">
        <v>1.8</v>
      </c>
      <c r="E344" s="14">
        <v>2.5</v>
      </c>
      <c r="F344" s="14">
        <v>1.7</v>
      </c>
      <c r="G344" s="58">
        <f t="shared" si="16"/>
        <v>0.8</v>
      </c>
      <c r="H344" s="58">
        <f t="shared" si="18"/>
        <v>2.0249999999999999</v>
      </c>
      <c r="I344" s="60">
        <v>1.9391666666666905</v>
      </c>
      <c r="J344" s="165">
        <v>2.5</v>
      </c>
      <c r="K344" s="14">
        <v>1.7</v>
      </c>
      <c r="L344" s="50">
        <v>1.9391666666666905</v>
      </c>
      <c r="M344" s="66">
        <v>100</v>
      </c>
      <c r="N344" s="24">
        <v>100</v>
      </c>
      <c r="O344" s="62">
        <v>100</v>
      </c>
      <c r="P344" s="377">
        <v>1014.33869929461</v>
      </c>
      <c r="Q344" s="21">
        <v>1010.37943718804</v>
      </c>
      <c r="R344" s="383">
        <v>1012.4560222615791</v>
      </c>
      <c r="S344" s="54">
        <v>6.8000000054400003</v>
      </c>
      <c r="T344" s="47">
        <v>4.2700000034159995</v>
      </c>
      <c r="U344" s="25">
        <v>1.6657346902698924</v>
      </c>
      <c r="V344" s="175" t="s">
        <v>208</v>
      </c>
      <c r="W344" s="197" t="s">
        <v>239</v>
      </c>
      <c r="X344" s="16">
        <v>0</v>
      </c>
      <c r="Y344" s="17">
        <v>0</v>
      </c>
      <c r="Z344" s="18">
        <v>0</v>
      </c>
      <c r="AA344" s="394">
        <v>0</v>
      </c>
      <c r="AB344" s="260" t="s">
        <v>216</v>
      </c>
    </row>
    <row r="345" spans="1:29" x14ac:dyDescent="0.3">
      <c r="A345" s="370">
        <v>45634</v>
      </c>
      <c r="B345" s="37">
        <v>1.2</v>
      </c>
      <c r="C345" s="14">
        <v>4.9000000000000004</v>
      </c>
      <c r="D345" s="14">
        <v>-1.8</v>
      </c>
      <c r="E345" s="14">
        <v>5.8</v>
      </c>
      <c r="F345" s="14">
        <v>-2</v>
      </c>
      <c r="G345" s="58">
        <f t="shared" si="16"/>
        <v>7.8</v>
      </c>
      <c r="H345" s="58">
        <f t="shared" si="18"/>
        <v>0.62500000000000011</v>
      </c>
      <c r="I345" s="60">
        <v>1.2496872828352954</v>
      </c>
      <c r="J345" s="165">
        <v>3.7</v>
      </c>
      <c r="K345" s="14">
        <v>-2.4</v>
      </c>
      <c r="L345" s="50">
        <v>0.72605976372480885</v>
      </c>
      <c r="M345" s="66">
        <v>100</v>
      </c>
      <c r="N345" s="24">
        <v>79.599999999999994</v>
      </c>
      <c r="O345" s="62">
        <v>96.522307157748415</v>
      </c>
      <c r="P345" s="377">
        <v>1012.02582695745</v>
      </c>
      <c r="Q345" s="21">
        <v>1009.4078763193201</v>
      </c>
      <c r="R345" s="383">
        <v>1010.5048003666125</v>
      </c>
      <c r="S345" s="54">
        <v>3.1000000024799998</v>
      </c>
      <c r="T345" s="47">
        <v>2.0100000016080002</v>
      </c>
      <c r="U345" s="25">
        <v>0.4470730530910853</v>
      </c>
      <c r="V345" s="175" t="s">
        <v>209</v>
      </c>
      <c r="W345" s="197" t="s">
        <v>239</v>
      </c>
      <c r="X345" s="16">
        <v>0</v>
      </c>
      <c r="Y345" s="17">
        <v>0</v>
      </c>
      <c r="Z345" s="18">
        <v>0</v>
      </c>
      <c r="AA345" s="394">
        <v>0</v>
      </c>
      <c r="AB345" s="260" t="s">
        <v>252</v>
      </c>
    </row>
    <row r="346" spans="1:29" x14ac:dyDescent="0.3">
      <c r="A346" s="370">
        <v>45635</v>
      </c>
      <c r="B346" s="37">
        <v>3.3</v>
      </c>
      <c r="C346" s="14">
        <v>4.5999999999999996</v>
      </c>
      <c r="D346" s="14">
        <v>3.3</v>
      </c>
      <c r="E346" s="14">
        <v>4.8</v>
      </c>
      <c r="F346" s="14">
        <v>0.1</v>
      </c>
      <c r="G346" s="58">
        <f t="shared" si="16"/>
        <v>4.7</v>
      </c>
      <c r="H346" s="58">
        <f t="shared" si="18"/>
        <v>3.625</v>
      </c>
      <c r="I346" s="60">
        <v>3.3095138888888775</v>
      </c>
      <c r="J346" s="165">
        <v>4.0999999999999996</v>
      </c>
      <c r="K346" s="14">
        <v>0.1</v>
      </c>
      <c r="L346" s="50">
        <v>2.9319444444444582</v>
      </c>
      <c r="M346" s="66">
        <v>100</v>
      </c>
      <c r="N346" s="24">
        <v>93.4</v>
      </c>
      <c r="O346" s="62">
        <v>97.403611111110976</v>
      </c>
      <c r="P346" s="377">
        <v>1019.86922128187</v>
      </c>
      <c r="Q346" s="21">
        <v>1011.12012396312</v>
      </c>
      <c r="R346" s="383">
        <v>1014.3429430652944</v>
      </c>
      <c r="S346" s="54">
        <v>5.4000000043199998</v>
      </c>
      <c r="T346" s="47">
        <v>3.4700000027759996</v>
      </c>
      <c r="U346" s="25">
        <v>1.682356578991782</v>
      </c>
      <c r="V346" s="175" t="s">
        <v>210</v>
      </c>
      <c r="W346" s="197" t="s">
        <v>214</v>
      </c>
      <c r="X346" s="16">
        <v>24</v>
      </c>
      <c r="Y346" s="17">
        <v>7</v>
      </c>
      <c r="Z346" s="18">
        <v>0</v>
      </c>
      <c r="AA346" s="394">
        <v>0</v>
      </c>
      <c r="AB346" s="260" t="s">
        <v>275</v>
      </c>
    </row>
    <row r="347" spans="1:29" x14ac:dyDescent="0.3">
      <c r="A347" s="370">
        <v>45636</v>
      </c>
      <c r="B347" s="37">
        <v>0.4</v>
      </c>
      <c r="C347" s="14">
        <v>1.1000000000000001</v>
      </c>
      <c r="D347" s="14">
        <v>0</v>
      </c>
      <c r="E347" s="14">
        <v>2.1</v>
      </c>
      <c r="F347" s="14">
        <v>-0.4</v>
      </c>
      <c r="G347" s="58">
        <f t="shared" si="16"/>
        <v>2.5</v>
      </c>
      <c r="H347" s="58">
        <f t="shared" si="18"/>
        <v>0.375</v>
      </c>
      <c r="I347" s="60">
        <v>0.78201388888888457</v>
      </c>
      <c r="J347" s="165">
        <v>2.1</v>
      </c>
      <c r="K347" s="14">
        <v>-0.5</v>
      </c>
      <c r="L347" s="50">
        <v>0.76604166666665985</v>
      </c>
      <c r="M347" s="66">
        <v>100</v>
      </c>
      <c r="N347" s="24">
        <v>98.1</v>
      </c>
      <c r="O347" s="62">
        <v>99.882291666666688</v>
      </c>
      <c r="P347" s="377">
        <v>1023.93047847965</v>
      </c>
      <c r="Q347" s="21">
        <v>1019.56197006036</v>
      </c>
      <c r="R347" s="383">
        <v>1022.4552239038445</v>
      </c>
      <c r="S347" s="54">
        <v>6.8000000054400003</v>
      </c>
      <c r="T347" s="47">
        <v>3.8766666697680003</v>
      </c>
      <c r="U347" s="25">
        <v>1.7432012445958045</v>
      </c>
      <c r="V347" s="175" t="s">
        <v>210</v>
      </c>
      <c r="W347" s="197" t="s">
        <v>221</v>
      </c>
      <c r="X347" s="16">
        <v>12</v>
      </c>
      <c r="Y347" s="17">
        <v>2</v>
      </c>
      <c r="Z347" s="18">
        <v>0</v>
      </c>
      <c r="AA347" s="394">
        <v>0</v>
      </c>
      <c r="AB347" s="260" t="s">
        <v>216</v>
      </c>
    </row>
    <row r="348" spans="1:29" x14ac:dyDescent="0.3">
      <c r="A348" s="370">
        <v>45637</v>
      </c>
      <c r="B348" s="37">
        <v>-0.5</v>
      </c>
      <c r="C348" s="14">
        <v>1</v>
      </c>
      <c r="D348" s="14">
        <v>0.7</v>
      </c>
      <c r="E348" s="14">
        <v>1.2</v>
      </c>
      <c r="F348" s="14">
        <v>-0.8</v>
      </c>
      <c r="G348" s="58">
        <f t="shared" si="16"/>
        <v>2</v>
      </c>
      <c r="H348" s="58">
        <f t="shared" si="18"/>
        <v>0.47499999999999998</v>
      </c>
      <c r="I348" s="60">
        <v>0.21570535093815169</v>
      </c>
      <c r="J348" s="165">
        <v>0.5</v>
      </c>
      <c r="K348" s="14">
        <v>-1.3</v>
      </c>
      <c r="L348" s="50">
        <v>-0.20187630298818499</v>
      </c>
      <c r="M348" s="66">
        <v>100</v>
      </c>
      <c r="N348" s="24">
        <v>94</v>
      </c>
      <c r="O348" s="62">
        <v>97.008200138984989</v>
      </c>
      <c r="P348" s="377">
        <v>1026.1930287801099</v>
      </c>
      <c r="Q348" s="21">
        <v>1023.19201939984</v>
      </c>
      <c r="R348" s="383">
        <v>1024.3297217649301</v>
      </c>
      <c r="S348" s="54">
        <v>5.10000000408</v>
      </c>
      <c r="T348" s="47">
        <v>2.8500000022799998</v>
      </c>
      <c r="U348" s="25">
        <v>1.1492806641722881</v>
      </c>
      <c r="V348" s="175" t="s">
        <v>210</v>
      </c>
      <c r="W348" s="197" t="s">
        <v>222</v>
      </c>
      <c r="X348" s="16">
        <v>6</v>
      </c>
      <c r="Y348" s="17">
        <v>0.2</v>
      </c>
      <c r="Z348" s="18">
        <v>0.5</v>
      </c>
      <c r="AA348" s="394">
        <v>0.5</v>
      </c>
      <c r="AB348" s="260" t="s">
        <v>235</v>
      </c>
    </row>
    <row r="349" spans="1:29" x14ac:dyDescent="0.3">
      <c r="A349" s="370">
        <v>45638</v>
      </c>
      <c r="B349" s="37">
        <v>1.4</v>
      </c>
      <c r="C349" s="14">
        <v>2.1</v>
      </c>
      <c r="D349" s="14">
        <v>1</v>
      </c>
      <c r="E349" s="14">
        <v>2.1</v>
      </c>
      <c r="F349" s="14">
        <v>-0.1</v>
      </c>
      <c r="G349" s="58">
        <f t="shared" si="16"/>
        <v>2.2000000000000002</v>
      </c>
      <c r="H349" s="58">
        <f t="shared" si="18"/>
        <v>1.375</v>
      </c>
      <c r="I349" s="60">
        <v>1.0874305555555628</v>
      </c>
      <c r="J349" s="165">
        <v>1.5</v>
      </c>
      <c r="K349" s="14">
        <v>-1</v>
      </c>
      <c r="L349" s="50">
        <v>0.3236111111111114</v>
      </c>
      <c r="M349" s="66">
        <v>100</v>
      </c>
      <c r="N349" s="24">
        <v>87.9</v>
      </c>
      <c r="O349" s="62">
        <v>94.722847222222299</v>
      </c>
      <c r="P349" s="377">
        <v>1030.9443014552301</v>
      </c>
      <c r="Q349" s="21">
        <v>1025.4849865223</v>
      </c>
      <c r="R349" s="383">
        <v>1028.1373169389963</v>
      </c>
      <c r="S349" s="54">
        <v>5.10000000408</v>
      </c>
      <c r="T349" s="47">
        <v>2.7500000021999997</v>
      </c>
      <c r="U349" s="25">
        <v>1.0474785686645054</v>
      </c>
      <c r="V349" s="175" t="s">
        <v>209</v>
      </c>
      <c r="W349" s="197"/>
      <c r="X349" s="16">
        <v>0</v>
      </c>
      <c r="Y349" s="17">
        <v>0</v>
      </c>
      <c r="Z349" s="18">
        <v>0</v>
      </c>
      <c r="AA349" s="394">
        <v>0</v>
      </c>
      <c r="AB349" s="260" t="s">
        <v>454</v>
      </c>
    </row>
    <row r="350" spans="1:29" x14ac:dyDescent="0.3">
      <c r="A350" s="370">
        <v>45639</v>
      </c>
      <c r="B350" s="37">
        <v>0.4</v>
      </c>
      <c r="C350" s="14">
        <v>2.4</v>
      </c>
      <c r="D350" s="14">
        <v>0.8</v>
      </c>
      <c r="E350" s="14">
        <v>2.4</v>
      </c>
      <c r="F350" s="14">
        <v>0.4</v>
      </c>
      <c r="G350" s="58">
        <f t="shared" si="16"/>
        <v>2</v>
      </c>
      <c r="H350" s="58">
        <f t="shared" si="18"/>
        <v>1.1000000000000001</v>
      </c>
      <c r="I350" s="60">
        <v>1.0724808895065987</v>
      </c>
      <c r="J350" s="165">
        <v>0.5</v>
      </c>
      <c r="K350" s="14">
        <v>-2.8</v>
      </c>
      <c r="L350" s="50">
        <v>-0.89298123697011655</v>
      </c>
      <c r="M350" s="66">
        <v>91.3</v>
      </c>
      <c r="N350" s="24">
        <v>77.400000000000006</v>
      </c>
      <c r="O350" s="62">
        <v>86.753439888811599</v>
      </c>
      <c r="P350" s="377">
        <v>1034.3638192793201</v>
      </c>
      <c r="Q350" s="21">
        <v>1030.2453033290401</v>
      </c>
      <c r="R350" s="383">
        <v>1032.5573002056485</v>
      </c>
      <c r="S350" s="54">
        <v>6.5000000052000004</v>
      </c>
      <c r="T350" s="47">
        <v>3.9900000031920002</v>
      </c>
      <c r="U350" s="25">
        <v>0.78842054326639865</v>
      </c>
      <c r="V350" s="175" t="s">
        <v>210</v>
      </c>
      <c r="W350" s="198"/>
      <c r="X350" s="26">
        <v>0</v>
      </c>
      <c r="Y350" s="27">
        <v>0</v>
      </c>
      <c r="Z350" s="28">
        <v>0</v>
      </c>
      <c r="AA350" s="396">
        <v>0</v>
      </c>
      <c r="AB350" s="261" t="s">
        <v>252</v>
      </c>
    </row>
    <row r="351" spans="1:29" x14ac:dyDescent="0.3">
      <c r="A351" s="370">
        <v>45640</v>
      </c>
      <c r="B351" s="37">
        <v>0</v>
      </c>
      <c r="C351" s="14">
        <v>0.9</v>
      </c>
      <c r="D351" s="14">
        <v>0.6</v>
      </c>
      <c r="E351" s="14">
        <v>0.9</v>
      </c>
      <c r="F351" s="14">
        <v>-0.1</v>
      </c>
      <c r="G351" s="58">
        <f t="shared" si="16"/>
        <v>1</v>
      </c>
      <c r="H351" s="58">
        <f t="shared" si="18"/>
        <v>0.52500000000000002</v>
      </c>
      <c r="I351" s="60">
        <v>0.55791666666666295</v>
      </c>
      <c r="J351" s="165">
        <v>-0.3</v>
      </c>
      <c r="K351" s="14">
        <v>-2.8</v>
      </c>
      <c r="L351" s="50">
        <v>-1.4989583333333303</v>
      </c>
      <c r="M351" s="66">
        <v>94.9</v>
      </c>
      <c r="N351" s="24">
        <v>77.3</v>
      </c>
      <c r="O351" s="62">
        <v>86.20701388888908</v>
      </c>
      <c r="P351" s="377">
        <v>1030.4501641966799</v>
      </c>
      <c r="Q351" s="21">
        <v>1013.57871914905</v>
      </c>
      <c r="R351" s="383">
        <v>1020.5583592734151</v>
      </c>
      <c r="S351" s="54">
        <v>9.2000000073599999</v>
      </c>
      <c r="T351" s="47">
        <v>6.0700000048560003</v>
      </c>
      <c r="U351" s="25">
        <v>3.2150048545856045</v>
      </c>
      <c r="V351" s="175" t="s">
        <v>208</v>
      </c>
      <c r="W351" s="198"/>
      <c r="X351" s="26">
        <v>0</v>
      </c>
      <c r="Y351" s="27">
        <v>0</v>
      </c>
      <c r="Z351" s="28">
        <v>0</v>
      </c>
      <c r="AA351" s="396">
        <v>0</v>
      </c>
      <c r="AB351" s="261" t="s">
        <v>216</v>
      </c>
    </row>
    <row r="352" spans="1:29" x14ac:dyDescent="0.3">
      <c r="A352" s="370">
        <v>45641</v>
      </c>
      <c r="B352" s="37">
        <v>0.2</v>
      </c>
      <c r="C352" s="14">
        <v>3.2</v>
      </c>
      <c r="D352" s="14">
        <v>-0.3</v>
      </c>
      <c r="E352" s="14">
        <v>3.5</v>
      </c>
      <c r="F352" s="14">
        <v>-0.4</v>
      </c>
      <c r="G352" s="58">
        <f t="shared" si="16"/>
        <v>3.9</v>
      </c>
      <c r="H352" s="58">
        <f t="shared" si="18"/>
        <v>0.70000000000000007</v>
      </c>
      <c r="I352" s="60">
        <v>0.73534722222222604</v>
      </c>
      <c r="J352" s="165">
        <v>2.2000000000000002</v>
      </c>
      <c r="K352" s="14">
        <v>-0.7</v>
      </c>
      <c r="L352" s="50">
        <v>0.25958333333333217</v>
      </c>
      <c r="M352" s="66">
        <v>100</v>
      </c>
      <c r="N352" s="24">
        <v>88.8</v>
      </c>
      <c r="O352" s="62">
        <v>96.648194444444343</v>
      </c>
      <c r="P352" s="377">
        <v>1022.64375442034</v>
      </c>
      <c r="Q352" s="21">
        <v>1013.26845819665</v>
      </c>
      <c r="R352" s="383">
        <v>1017.4109110595942</v>
      </c>
      <c r="S352" s="54">
        <v>4.8000000038400001</v>
      </c>
      <c r="T352" s="47">
        <v>3.4433333360880001</v>
      </c>
      <c r="U352" s="25">
        <v>0.76141552572328119</v>
      </c>
      <c r="V352" s="175" t="s">
        <v>244</v>
      </c>
      <c r="W352" s="198" t="s">
        <v>221</v>
      </c>
      <c r="X352" s="26">
        <v>12</v>
      </c>
      <c r="Y352" s="27">
        <v>1.1000000000000001</v>
      </c>
      <c r="Z352" s="28">
        <v>0</v>
      </c>
      <c r="AA352" s="396">
        <v>0</v>
      </c>
      <c r="AB352" s="261" t="s">
        <v>455</v>
      </c>
    </row>
    <row r="353" spans="1:28" x14ac:dyDescent="0.3">
      <c r="A353" s="370">
        <v>45642</v>
      </c>
      <c r="B353" s="37">
        <v>0.8</v>
      </c>
      <c r="C353" s="14">
        <v>2.7</v>
      </c>
      <c r="D353" s="14">
        <v>2.9</v>
      </c>
      <c r="E353" s="14">
        <v>3</v>
      </c>
      <c r="F353" s="14">
        <v>0.2</v>
      </c>
      <c r="G353" s="58">
        <f t="shared" si="16"/>
        <v>2.8</v>
      </c>
      <c r="H353" s="58">
        <f t="shared" si="18"/>
        <v>2.3250000000000002</v>
      </c>
      <c r="I353" s="60">
        <v>1.8462821403752763</v>
      </c>
      <c r="J353" s="165">
        <v>3</v>
      </c>
      <c r="K353" s="14">
        <v>0.2</v>
      </c>
      <c r="L353" s="50">
        <v>1.8462821403752763</v>
      </c>
      <c r="M353" s="66">
        <v>100</v>
      </c>
      <c r="N353" s="24">
        <v>100</v>
      </c>
      <c r="O353" s="62">
        <v>100</v>
      </c>
      <c r="P353" s="377">
        <v>1023.90407137903</v>
      </c>
      <c r="Q353" s="21">
        <v>1020.72820080818</v>
      </c>
      <c r="R353" s="383">
        <v>1022.4016020807553</v>
      </c>
      <c r="S353" s="54">
        <v>4.8000000038400001</v>
      </c>
      <c r="T353" s="47">
        <v>3.2666666692800002</v>
      </c>
      <c r="U353" s="25">
        <v>1.2631638856842782</v>
      </c>
      <c r="V353" s="175" t="s">
        <v>244</v>
      </c>
      <c r="W353" s="198" t="s">
        <v>221</v>
      </c>
      <c r="X353" s="26">
        <v>6</v>
      </c>
      <c r="Y353" s="27">
        <v>0.2</v>
      </c>
      <c r="Z353" s="28">
        <v>0</v>
      </c>
      <c r="AA353" s="396">
        <v>0</v>
      </c>
      <c r="AB353" s="261" t="s">
        <v>252</v>
      </c>
    </row>
    <row r="354" spans="1:28" x14ac:dyDescent="0.3">
      <c r="A354" s="370">
        <v>45643</v>
      </c>
      <c r="B354" s="37">
        <v>3</v>
      </c>
      <c r="C354" s="14">
        <v>6.5</v>
      </c>
      <c r="D354" s="14">
        <v>3.2</v>
      </c>
      <c r="E354" s="14">
        <v>6.8</v>
      </c>
      <c r="F354" s="14">
        <v>2.2000000000000002</v>
      </c>
      <c r="G354" s="58">
        <f t="shared" si="16"/>
        <v>4.5999999999999996</v>
      </c>
      <c r="H354" s="58">
        <f t="shared" si="18"/>
        <v>3.9750000000000001</v>
      </c>
      <c r="I354" s="60">
        <v>3.7792361111111132</v>
      </c>
      <c r="J354" s="165">
        <v>6.5</v>
      </c>
      <c r="K354" s="14">
        <v>2.2000000000000002</v>
      </c>
      <c r="L354" s="50">
        <v>3.7455555555555566</v>
      </c>
      <c r="M354" s="66">
        <v>100</v>
      </c>
      <c r="N354" s="24">
        <v>96.1</v>
      </c>
      <c r="O354" s="62">
        <v>99.770000000000039</v>
      </c>
      <c r="P354" s="377">
        <v>1024.6680721718201</v>
      </c>
      <c r="Q354" s="21">
        <v>1020.2977610950001</v>
      </c>
      <c r="R354" s="383">
        <v>1022.3513600145667</v>
      </c>
      <c r="S354" s="54">
        <v>5.10000000408</v>
      </c>
      <c r="T354" s="47">
        <v>2.9933333357280003</v>
      </c>
      <c r="U354" s="25">
        <v>0.90369833284768375</v>
      </c>
      <c r="V354" s="175" t="s">
        <v>209</v>
      </c>
      <c r="W354" s="198" t="s">
        <v>239</v>
      </c>
      <c r="X354" s="26">
        <v>0</v>
      </c>
      <c r="Y354" s="27">
        <v>0</v>
      </c>
      <c r="Z354" s="28">
        <v>0</v>
      </c>
      <c r="AA354" s="396">
        <v>0</v>
      </c>
      <c r="AB354" s="261" t="s">
        <v>252</v>
      </c>
    </row>
    <row r="355" spans="1:28" x14ac:dyDescent="0.3">
      <c r="A355" s="370">
        <v>45644</v>
      </c>
      <c r="B355" s="37">
        <v>0.5</v>
      </c>
      <c r="C355" s="14">
        <v>3.5</v>
      </c>
      <c r="D355" s="14">
        <v>2.1</v>
      </c>
      <c r="E355" s="14">
        <v>4.5999999999999996</v>
      </c>
      <c r="F355" s="14">
        <v>0.2</v>
      </c>
      <c r="G355" s="58">
        <f t="shared" si="16"/>
        <v>4.3999999999999995</v>
      </c>
      <c r="H355" s="58">
        <f t="shared" si="18"/>
        <v>2.0499999999999998</v>
      </c>
      <c r="I355" s="60">
        <v>2.0266157053509395</v>
      </c>
      <c r="J355" s="165">
        <v>4.5999999999999996</v>
      </c>
      <c r="K355" s="14">
        <v>0.2</v>
      </c>
      <c r="L355" s="50">
        <v>2.0266157053509395</v>
      </c>
      <c r="M355" s="66">
        <v>100</v>
      </c>
      <c r="N355" s="24">
        <v>100</v>
      </c>
      <c r="O355" s="62">
        <v>100</v>
      </c>
      <c r="P355" s="377">
        <v>1024.86137481983</v>
      </c>
      <c r="Q355" s="21">
        <v>1019.06448065774</v>
      </c>
      <c r="R355" s="383">
        <v>1022.6225453315793</v>
      </c>
      <c r="S355" s="54">
        <v>4.4000000035199998</v>
      </c>
      <c r="T355" s="47">
        <v>2.8400000022720002</v>
      </c>
      <c r="U355" s="25">
        <v>0.88842054334639631</v>
      </c>
      <c r="V355" s="175" t="s">
        <v>244</v>
      </c>
      <c r="W355" s="198"/>
      <c r="X355" s="26">
        <v>0</v>
      </c>
      <c r="Y355" s="27">
        <v>0</v>
      </c>
      <c r="Z355" s="28">
        <v>0</v>
      </c>
      <c r="AA355" s="396">
        <v>0</v>
      </c>
      <c r="AB355" s="261" t="s">
        <v>456</v>
      </c>
    </row>
    <row r="356" spans="1:28" x14ac:dyDescent="0.3">
      <c r="A356" s="370">
        <v>45645</v>
      </c>
      <c r="B356" s="37">
        <v>3.6</v>
      </c>
      <c r="C356" s="14">
        <v>4.4000000000000004</v>
      </c>
      <c r="D356" s="14">
        <v>5.7</v>
      </c>
      <c r="E356" s="14">
        <v>5.7</v>
      </c>
      <c r="F356" s="14">
        <v>3.2</v>
      </c>
      <c r="G356" s="58">
        <f t="shared" si="16"/>
        <v>2.5</v>
      </c>
      <c r="H356" s="58">
        <f t="shared" si="18"/>
        <v>4.8499999999999996</v>
      </c>
      <c r="I356" s="60">
        <v>4.3745833333333373</v>
      </c>
      <c r="J356" s="165">
        <v>5.2</v>
      </c>
      <c r="K356" s="14">
        <v>3.2</v>
      </c>
      <c r="L356" s="50">
        <v>4.2702777777778254</v>
      </c>
      <c r="M356" s="66">
        <v>100</v>
      </c>
      <c r="N356" s="24">
        <v>96.4</v>
      </c>
      <c r="O356" s="62">
        <v>99.28673611111104</v>
      </c>
      <c r="P356" s="377">
        <v>1019.33756932036</v>
      </c>
      <c r="Q356" s="21">
        <v>1002.61910171831</v>
      </c>
      <c r="R356" s="383">
        <v>1011.2087976688426</v>
      </c>
      <c r="S356" s="54">
        <v>10.900000008719999</v>
      </c>
      <c r="T356" s="47">
        <v>6.6600000053279995</v>
      </c>
      <c r="U356" s="25">
        <v>3.2864372006967835</v>
      </c>
      <c r="V356" s="175" t="s">
        <v>208</v>
      </c>
      <c r="W356" s="198" t="s">
        <v>214</v>
      </c>
      <c r="X356" s="26">
        <v>12</v>
      </c>
      <c r="Y356" s="27">
        <v>2.7</v>
      </c>
      <c r="Z356" s="28">
        <v>0</v>
      </c>
      <c r="AA356" s="396">
        <v>0</v>
      </c>
      <c r="AB356" s="261" t="s">
        <v>448</v>
      </c>
    </row>
    <row r="357" spans="1:28" x14ac:dyDescent="0.3">
      <c r="A357" s="370">
        <v>45646</v>
      </c>
      <c r="B357" s="37">
        <v>3</v>
      </c>
      <c r="C357" s="14">
        <v>4.4000000000000004</v>
      </c>
      <c r="D357" s="14">
        <v>3.9</v>
      </c>
      <c r="E357" s="14">
        <v>5</v>
      </c>
      <c r="F357" s="14">
        <v>1.2</v>
      </c>
      <c r="G357" s="58">
        <f t="shared" si="16"/>
        <v>3.8</v>
      </c>
      <c r="H357" s="58">
        <f t="shared" si="18"/>
        <v>3.8</v>
      </c>
      <c r="I357" s="60">
        <v>3.7392361111111199</v>
      </c>
      <c r="J357" s="165">
        <v>5</v>
      </c>
      <c r="K357" s="14">
        <v>-0.5</v>
      </c>
      <c r="L357" s="50">
        <v>2.9770138888888931</v>
      </c>
      <c r="M357" s="66">
        <v>100</v>
      </c>
      <c r="N357" s="24">
        <v>83.1</v>
      </c>
      <c r="O357" s="62">
        <v>94.908611111111114</v>
      </c>
      <c r="P357" s="377">
        <v>1016.5599947286501</v>
      </c>
      <c r="Q357" s="21">
        <v>1002.33742270056</v>
      </c>
      <c r="R357" s="383">
        <v>1008.4499137690233</v>
      </c>
      <c r="S357" s="54">
        <v>8.8000000070399995</v>
      </c>
      <c r="T357" s="47">
        <v>4.7233333371119999</v>
      </c>
      <c r="U357" s="25">
        <v>1.414221739209323</v>
      </c>
      <c r="V357" s="175" t="s">
        <v>209</v>
      </c>
      <c r="W357" s="198"/>
      <c r="X357" s="26">
        <v>0</v>
      </c>
      <c r="Y357" s="27">
        <v>0</v>
      </c>
      <c r="Z357" s="28">
        <v>0</v>
      </c>
      <c r="AA357" s="396">
        <v>0</v>
      </c>
      <c r="AB357" s="261" t="s">
        <v>237</v>
      </c>
    </row>
    <row r="358" spans="1:28" x14ac:dyDescent="0.3">
      <c r="A358" s="370">
        <v>45647</v>
      </c>
      <c r="B358" s="37">
        <v>1.5</v>
      </c>
      <c r="C358" s="14">
        <v>7.7</v>
      </c>
      <c r="D358" s="14">
        <v>-3.5</v>
      </c>
      <c r="E358" s="14">
        <v>8</v>
      </c>
      <c r="F358" s="14">
        <v>-5.2</v>
      </c>
      <c r="G358" s="58">
        <f t="shared" si="16"/>
        <v>13.2</v>
      </c>
      <c r="H358" s="58">
        <f t="shared" si="18"/>
        <v>0.54999999999999982</v>
      </c>
      <c r="I358" s="60">
        <v>1.412925642807511</v>
      </c>
      <c r="J358" s="165">
        <v>3.9</v>
      </c>
      <c r="K358" s="14">
        <v>-5.4</v>
      </c>
      <c r="L358" s="50">
        <v>-0.44301598332175074</v>
      </c>
      <c r="M358" s="66">
        <v>99.5</v>
      </c>
      <c r="N358" s="24">
        <v>67.099999999999994</v>
      </c>
      <c r="O358" s="62">
        <v>87.985128561501057</v>
      </c>
      <c r="P358" s="377">
        <v>1019.53282944734</v>
      </c>
      <c r="Q358" s="21">
        <v>1015.86356286511</v>
      </c>
      <c r="R358" s="383">
        <v>1017.6948805377627</v>
      </c>
      <c r="S358" s="54">
        <v>6.10000000488</v>
      </c>
      <c r="T358" s="47">
        <v>3.6900000029519999</v>
      </c>
      <c r="U358" s="25">
        <v>0.85593343049661885</v>
      </c>
      <c r="V358" s="175" t="s">
        <v>209</v>
      </c>
      <c r="W358" s="198"/>
      <c r="X358" s="26">
        <v>0</v>
      </c>
      <c r="Y358" s="27">
        <v>0</v>
      </c>
      <c r="Z358" s="28">
        <v>0</v>
      </c>
      <c r="AA358" s="396">
        <v>0</v>
      </c>
      <c r="AB358" s="261" t="s">
        <v>265</v>
      </c>
    </row>
    <row r="359" spans="1:28" x14ac:dyDescent="0.3">
      <c r="A359" s="370">
        <v>45648</v>
      </c>
      <c r="B359" s="37">
        <v>-2.8</v>
      </c>
      <c r="C359" s="14">
        <v>-0.5</v>
      </c>
      <c r="D359" s="14">
        <v>1.7</v>
      </c>
      <c r="E359" s="14">
        <v>1.8</v>
      </c>
      <c r="F359" s="14">
        <v>-6.2</v>
      </c>
      <c r="G359" s="58">
        <f t="shared" si="16"/>
        <v>8</v>
      </c>
      <c r="H359" s="58">
        <f t="shared" si="18"/>
        <v>2.5000000000000022E-2</v>
      </c>
      <c r="I359" s="60">
        <v>-1.6532638888888846</v>
      </c>
      <c r="J359" s="165">
        <v>-0.1</v>
      </c>
      <c r="K359" s="14">
        <v>-6.5</v>
      </c>
      <c r="L359" s="50">
        <v>-2.2329861111111002</v>
      </c>
      <c r="M359" s="66">
        <v>100</v>
      </c>
      <c r="N359" s="24">
        <v>84.8</v>
      </c>
      <c r="O359" s="62">
        <v>95.935833333333377</v>
      </c>
      <c r="P359" s="377">
        <v>1016.32899125907</v>
      </c>
      <c r="Q359" s="21">
        <v>1003.99879610868</v>
      </c>
      <c r="R359" s="383">
        <v>1009.0124145885428</v>
      </c>
      <c r="S359" s="54">
        <v>13.900000011119999</v>
      </c>
      <c r="T359" s="47">
        <v>8.2266666732480012</v>
      </c>
      <c r="U359" s="25">
        <v>3.1504862655887029</v>
      </c>
      <c r="V359" s="175" t="s">
        <v>208</v>
      </c>
      <c r="W359" s="198" t="s">
        <v>222</v>
      </c>
      <c r="X359" s="26">
        <v>6</v>
      </c>
      <c r="Y359" s="27">
        <v>4.3</v>
      </c>
      <c r="Z359" s="28">
        <v>0</v>
      </c>
      <c r="AA359" s="396">
        <v>0</v>
      </c>
      <c r="AB359" s="261" t="s">
        <v>223</v>
      </c>
    </row>
    <row r="360" spans="1:28" ht="28.8" x14ac:dyDescent="0.3">
      <c r="A360" s="370">
        <v>45649</v>
      </c>
      <c r="B360" s="37">
        <v>-0.7</v>
      </c>
      <c r="C360" s="14">
        <v>1.5</v>
      </c>
      <c r="D360" s="14">
        <v>1.3</v>
      </c>
      <c r="E360" s="14">
        <v>1.5</v>
      </c>
      <c r="F360" s="14">
        <v>-0.7</v>
      </c>
      <c r="G360" s="58">
        <f t="shared" si="16"/>
        <v>2.2000000000000002</v>
      </c>
      <c r="H360" s="58">
        <f t="shared" si="18"/>
        <v>0.85000000000000009</v>
      </c>
      <c r="I360" s="60">
        <v>0.34833333333333172</v>
      </c>
      <c r="J360" s="165">
        <v>1.5</v>
      </c>
      <c r="K360" s="14">
        <v>-0.7</v>
      </c>
      <c r="L360" s="50">
        <v>0.32798611111111048</v>
      </c>
      <c r="M360" s="66">
        <v>100</v>
      </c>
      <c r="N360" s="24">
        <v>98.8</v>
      </c>
      <c r="O360" s="62">
        <v>99.862986111111113</v>
      </c>
      <c r="P360" s="377">
        <v>1009.85949998527</v>
      </c>
      <c r="Q360" s="21">
        <v>1003.7280142250301</v>
      </c>
      <c r="R360" s="383">
        <v>1005.5482847358752</v>
      </c>
      <c r="S360" s="54">
        <v>4.4000000035199998</v>
      </c>
      <c r="T360" s="47">
        <v>3.4000000027199997</v>
      </c>
      <c r="U360" s="25">
        <v>0.37061106966788987</v>
      </c>
      <c r="V360" s="175" t="s">
        <v>210</v>
      </c>
      <c r="W360" s="198" t="s">
        <v>222</v>
      </c>
      <c r="X360" s="26">
        <v>6</v>
      </c>
      <c r="Y360" s="27">
        <v>2.2999999999999998</v>
      </c>
      <c r="Z360" s="28">
        <v>7.5</v>
      </c>
      <c r="AA360" s="396">
        <v>7.5</v>
      </c>
      <c r="AB360" s="261" t="s">
        <v>457</v>
      </c>
    </row>
    <row r="361" spans="1:28" x14ac:dyDescent="0.3">
      <c r="A361" s="370">
        <v>45650</v>
      </c>
      <c r="B361" s="37">
        <v>1.9</v>
      </c>
      <c r="C361" s="14">
        <v>1.7</v>
      </c>
      <c r="D361" s="14">
        <v>1.8</v>
      </c>
      <c r="E361" s="14">
        <v>1.9</v>
      </c>
      <c r="F361" s="14">
        <v>1.1000000000000001</v>
      </c>
      <c r="G361" s="58">
        <f t="shared" si="16"/>
        <v>0.79999999999999982</v>
      </c>
      <c r="H361" s="58">
        <f t="shared" si="18"/>
        <v>1.7999999999999998</v>
      </c>
      <c r="I361" s="60">
        <v>1.6566666666666818</v>
      </c>
      <c r="J361" s="165">
        <v>1.6</v>
      </c>
      <c r="K361" s="14">
        <v>0.6</v>
      </c>
      <c r="L361" s="50">
        <v>1.1597222222222092</v>
      </c>
      <c r="M361" s="66">
        <v>100</v>
      </c>
      <c r="N361" s="24">
        <v>91.5</v>
      </c>
      <c r="O361" s="62">
        <v>96.518541666666223</v>
      </c>
      <c r="P361" s="377">
        <v>1027.77312640009</v>
      </c>
      <c r="Q361" s="21">
        <v>1009.49272625145</v>
      </c>
      <c r="R361" s="383">
        <v>1017.8468931145395</v>
      </c>
      <c r="S361" s="54">
        <v>8.5000000068000006</v>
      </c>
      <c r="T361" s="47">
        <v>4.3100000034480006</v>
      </c>
      <c r="U361" s="25">
        <v>2.4517274958786497</v>
      </c>
      <c r="V361" s="175" t="s">
        <v>209</v>
      </c>
      <c r="W361" s="198"/>
      <c r="X361" s="26">
        <v>0</v>
      </c>
      <c r="Y361" s="27">
        <v>0</v>
      </c>
      <c r="Z361" s="28">
        <v>0</v>
      </c>
      <c r="AA361" s="396">
        <v>4</v>
      </c>
      <c r="AB361" s="261" t="s">
        <v>238</v>
      </c>
    </row>
    <row r="362" spans="1:28" x14ac:dyDescent="0.3">
      <c r="A362" s="370">
        <v>45651</v>
      </c>
      <c r="B362" s="37">
        <v>2</v>
      </c>
      <c r="C362" s="14">
        <v>2.9</v>
      </c>
      <c r="D362" s="14">
        <v>1.2</v>
      </c>
      <c r="E362" s="14">
        <v>3.2</v>
      </c>
      <c r="F362" s="14">
        <v>-1.7</v>
      </c>
      <c r="G362" s="58">
        <f t="shared" si="16"/>
        <v>4.9000000000000004</v>
      </c>
      <c r="H362" s="58">
        <f t="shared" si="18"/>
        <v>1.8250000000000002</v>
      </c>
      <c r="I362" s="60">
        <v>1.892703266157062</v>
      </c>
      <c r="J362" s="165">
        <v>1.2</v>
      </c>
      <c r="K362" s="14">
        <v>-2.7</v>
      </c>
      <c r="L362" s="50">
        <v>0.24308547602501648</v>
      </c>
      <c r="M362" s="66">
        <v>94.2</v>
      </c>
      <c r="N362" s="24">
        <v>83.4</v>
      </c>
      <c r="O362" s="62">
        <v>88.84704656011121</v>
      </c>
      <c r="P362" s="377">
        <v>1036.74658022635</v>
      </c>
      <c r="Q362" s="21">
        <v>1027.73898678454</v>
      </c>
      <c r="R362" s="383">
        <v>1033.6822784438175</v>
      </c>
      <c r="S362" s="54">
        <v>9.2000000073599999</v>
      </c>
      <c r="T362" s="47">
        <v>4.9466666706239995</v>
      </c>
      <c r="U362" s="25">
        <v>2.0419206595919226</v>
      </c>
      <c r="V362" s="175" t="s">
        <v>210</v>
      </c>
      <c r="W362" s="198"/>
      <c r="X362" s="26">
        <v>0</v>
      </c>
      <c r="Y362" s="27">
        <v>0</v>
      </c>
      <c r="Z362" s="28">
        <v>0</v>
      </c>
      <c r="AA362" s="396">
        <v>0</v>
      </c>
      <c r="AB362" s="261" t="s">
        <v>458</v>
      </c>
    </row>
    <row r="363" spans="1:28" x14ac:dyDescent="0.3">
      <c r="A363" s="370">
        <v>45652</v>
      </c>
      <c r="B363" s="37">
        <v>-2.7</v>
      </c>
      <c r="C363" s="14">
        <v>5.9</v>
      </c>
      <c r="D363" s="14">
        <v>-2.7</v>
      </c>
      <c r="E363" s="14">
        <v>6.1</v>
      </c>
      <c r="F363" s="14">
        <v>-3.7</v>
      </c>
      <c r="G363" s="58">
        <f t="shared" si="16"/>
        <v>9.8000000000000007</v>
      </c>
      <c r="H363" s="58">
        <f t="shared" si="18"/>
        <v>-0.55000000000000004</v>
      </c>
      <c r="I363" s="60">
        <v>-0.31590277777777598</v>
      </c>
      <c r="J363" s="165">
        <v>1.4</v>
      </c>
      <c r="K363" s="14">
        <v>-4.5</v>
      </c>
      <c r="L363" s="50">
        <v>-2.246388888888895</v>
      </c>
      <c r="M363" s="66">
        <v>98.4</v>
      </c>
      <c r="N363" s="24">
        <v>66.099999999999994</v>
      </c>
      <c r="O363" s="62">
        <v>87.540486111111136</v>
      </c>
      <c r="P363" s="377">
        <v>1038.38924614607</v>
      </c>
      <c r="Q363" s="21">
        <v>1036.0603611721999</v>
      </c>
      <c r="R363" s="383">
        <v>1037.1863777088647</v>
      </c>
      <c r="S363" s="54">
        <v>4.1000000032799999</v>
      </c>
      <c r="T363" s="47">
        <v>2.9700000023759996</v>
      </c>
      <c r="U363" s="25">
        <v>1.0640389302916275</v>
      </c>
      <c r="V363" s="175" t="s">
        <v>210</v>
      </c>
      <c r="W363" s="198"/>
      <c r="X363" s="26">
        <v>0</v>
      </c>
      <c r="Y363" s="27">
        <v>0</v>
      </c>
      <c r="Z363" s="28">
        <v>0</v>
      </c>
      <c r="AA363" s="396">
        <v>0</v>
      </c>
      <c r="AB363" s="261" t="s">
        <v>258</v>
      </c>
    </row>
    <row r="364" spans="1:28" x14ac:dyDescent="0.3">
      <c r="A364" s="370">
        <v>45653</v>
      </c>
      <c r="B364" s="37">
        <v>-5.6</v>
      </c>
      <c r="C364" s="14">
        <v>6.3</v>
      </c>
      <c r="D364" s="14">
        <v>0.4</v>
      </c>
      <c r="E364" s="14">
        <v>6.3</v>
      </c>
      <c r="F364" s="14">
        <v>-5.8</v>
      </c>
      <c r="G364" s="58">
        <f t="shared" si="16"/>
        <v>12.1</v>
      </c>
      <c r="H364" s="58">
        <f t="shared" si="18"/>
        <v>0.37500000000000006</v>
      </c>
      <c r="I364" s="60">
        <v>-0.52550382209868329</v>
      </c>
      <c r="J364" s="165">
        <v>1.4</v>
      </c>
      <c r="K364" s="14">
        <v>-6.4</v>
      </c>
      <c r="L364" s="50">
        <v>-2.2584433634468324</v>
      </c>
      <c r="M364" s="66">
        <v>99.8</v>
      </c>
      <c r="N364" s="24">
        <v>66.400000000000006</v>
      </c>
      <c r="O364" s="62">
        <v>88.695969423210499</v>
      </c>
      <c r="P364" s="377">
        <v>1037.0013496346501</v>
      </c>
      <c r="Q364" s="21">
        <v>1030.2514360667701</v>
      </c>
      <c r="R364" s="383">
        <v>1033.4654280614002</v>
      </c>
      <c r="S364" s="54">
        <v>5.10000000408</v>
      </c>
      <c r="T364" s="47">
        <v>3.8800000031040005</v>
      </c>
      <c r="U364" s="25">
        <v>0.91853197747901061</v>
      </c>
      <c r="V364" s="92" t="s">
        <v>209</v>
      </c>
      <c r="W364" s="198"/>
      <c r="X364" s="26">
        <v>0</v>
      </c>
      <c r="Y364" s="27">
        <v>0</v>
      </c>
      <c r="Z364" s="28">
        <v>0</v>
      </c>
      <c r="AA364" s="396">
        <v>0</v>
      </c>
      <c r="AB364" s="261" t="s">
        <v>258</v>
      </c>
    </row>
    <row r="365" spans="1:28" x14ac:dyDescent="0.3">
      <c r="A365" s="370">
        <v>45654</v>
      </c>
      <c r="B365" s="37">
        <v>-3.6</v>
      </c>
      <c r="C365" s="14">
        <v>7.9</v>
      </c>
      <c r="D365" s="14">
        <v>-0.1</v>
      </c>
      <c r="E365" s="14">
        <v>9.1999999999999993</v>
      </c>
      <c r="F365" s="14">
        <v>-3.8</v>
      </c>
      <c r="G365" s="58">
        <f t="shared" si="16"/>
        <v>13</v>
      </c>
      <c r="H365" s="58">
        <f t="shared" si="18"/>
        <v>1.0250000000000001</v>
      </c>
      <c r="I365" s="60">
        <v>0.64201388888889011</v>
      </c>
      <c r="J365" s="165">
        <v>5</v>
      </c>
      <c r="K365" s="14">
        <v>-4</v>
      </c>
      <c r="L365" s="50">
        <v>-0.38597222222222355</v>
      </c>
      <c r="M365" s="66">
        <v>100</v>
      </c>
      <c r="N365" s="24">
        <v>73.2</v>
      </c>
      <c r="O365" s="62">
        <v>93.336527777777945</v>
      </c>
      <c r="P365" s="377">
        <v>1030.54059355604</v>
      </c>
      <c r="Q365" s="21">
        <v>1026.6448407534201</v>
      </c>
      <c r="R365" s="383">
        <v>1028.9031385758706</v>
      </c>
      <c r="S365" s="54">
        <v>3.70000000296</v>
      </c>
      <c r="T365" s="47">
        <v>2.3500000018800002</v>
      </c>
      <c r="U365" s="25">
        <v>0.42714839056200432</v>
      </c>
      <c r="V365" s="175" t="s">
        <v>244</v>
      </c>
      <c r="W365" s="198"/>
      <c r="X365" s="26">
        <v>0</v>
      </c>
      <c r="Y365" s="27">
        <v>0</v>
      </c>
      <c r="Z365" s="28">
        <v>0</v>
      </c>
      <c r="AA365" s="396">
        <v>0</v>
      </c>
      <c r="AB365" s="261" t="s">
        <v>297</v>
      </c>
    </row>
    <row r="366" spans="1:28" x14ac:dyDescent="0.3">
      <c r="A366" s="370">
        <v>45655</v>
      </c>
      <c r="B366" s="37">
        <v>-1.9</v>
      </c>
      <c r="C366" s="14">
        <v>-1.9</v>
      </c>
      <c r="D366" s="14">
        <v>-2</v>
      </c>
      <c r="E366" s="240">
        <v>-1.2</v>
      </c>
      <c r="F366" s="14">
        <v>-2.2000000000000002</v>
      </c>
      <c r="G366" s="58">
        <f t="shared" si="16"/>
        <v>1.0000000000000002</v>
      </c>
      <c r="H366" s="58">
        <f t="shared" si="18"/>
        <v>-1.95</v>
      </c>
      <c r="I366" s="60">
        <v>-1.8775694444444575</v>
      </c>
      <c r="J366" s="165">
        <v>-1.3</v>
      </c>
      <c r="K366" s="14">
        <v>-2.2000000000000002</v>
      </c>
      <c r="L366" s="50">
        <v>-1.8802083333333464</v>
      </c>
      <c r="M366" s="66">
        <v>100</v>
      </c>
      <c r="N366" s="24">
        <v>98.1</v>
      </c>
      <c r="O366" s="62">
        <v>99.978055555555557</v>
      </c>
      <c r="P366" s="377">
        <v>1030.07195641063</v>
      </c>
      <c r="Q366" s="21">
        <v>1027.98628789857</v>
      </c>
      <c r="R366" s="383">
        <v>1029.0992862678822</v>
      </c>
      <c r="S366" s="54">
        <v>4.1000000032799999</v>
      </c>
      <c r="T366" s="47">
        <v>2.5933333354079999</v>
      </c>
      <c r="U366" s="25">
        <v>1.3831512514099837</v>
      </c>
      <c r="V366" s="175" t="s">
        <v>244</v>
      </c>
      <c r="W366" s="198"/>
      <c r="X366" s="26">
        <v>0</v>
      </c>
      <c r="Y366" s="27">
        <v>0</v>
      </c>
      <c r="Z366" s="28">
        <v>0</v>
      </c>
      <c r="AA366" s="396">
        <v>0</v>
      </c>
      <c r="AB366" s="261" t="s">
        <v>445</v>
      </c>
    </row>
    <row r="367" spans="1:28" x14ac:dyDescent="0.3">
      <c r="A367" s="370">
        <v>45656</v>
      </c>
      <c r="B367" s="37">
        <v>-1.6</v>
      </c>
      <c r="C367" s="14">
        <v>-1.1000000000000001</v>
      </c>
      <c r="D367" s="14">
        <v>-0.8</v>
      </c>
      <c r="E367" s="14">
        <v>-0.8</v>
      </c>
      <c r="F367" s="14">
        <v>-1.8</v>
      </c>
      <c r="G367" s="58">
        <f t="shared" si="16"/>
        <v>1</v>
      </c>
      <c r="H367" s="58">
        <f>(B367+C367+2*D367)/4</f>
        <v>-1.0750000000000002</v>
      </c>
      <c r="I367" s="60">
        <v>-1.2774148714385305</v>
      </c>
      <c r="J367" s="165">
        <v>-0.9</v>
      </c>
      <c r="K367" s="14">
        <v>-1.8</v>
      </c>
      <c r="L367" s="50">
        <v>-1.3111188325226097</v>
      </c>
      <c r="M367" s="66">
        <v>100</v>
      </c>
      <c r="N367" s="24">
        <v>98.6</v>
      </c>
      <c r="O367" s="62">
        <v>99.738985406532478</v>
      </c>
      <c r="P367" s="377">
        <v>1031.41473173232</v>
      </c>
      <c r="Q367" s="21">
        <v>1029.2339945451199</v>
      </c>
      <c r="R367" s="383">
        <v>1030.108196844265</v>
      </c>
      <c r="S367" s="54">
        <v>6.10000000488</v>
      </c>
      <c r="T367" s="47">
        <v>3.6533333362559985</v>
      </c>
      <c r="U367" s="25">
        <v>1.8031832500506308</v>
      </c>
      <c r="V367" s="175" t="s">
        <v>208</v>
      </c>
      <c r="W367" s="198"/>
      <c r="X367" s="26">
        <v>0</v>
      </c>
      <c r="Y367" s="27">
        <v>0</v>
      </c>
      <c r="Z367" s="28">
        <v>0</v>
      </c>
      <c r="AA367" s="396">
        <v>0</v>
      </c>
      <c r="AB367" s="261" t="s">
        <v>448</v>
      </c>
    </row>
    <row r="368" spans="1:28" s="338" customFormat="1" ht="15" thickBot="1" x14ac:dyDescent="0.35">
      <c r="A368" s="370">
        <v>45657</v>
      </c>
      <c r="B368" s="38">
        <v>-0.9</v>
      </c>
      <c r="C368" s="22">
        <v>-0.7</v>
      </c>
      <c r="D368" s="22">
        <v>-1.2</v>
      </c>
      <c r="E368" s="22">
        <v>-0.6</v>
      </c>
      <c r="F368" s="22">
        <v>-1.4</v>
      </c>
      <c r="G368" s="22">
        <f t="shared" si="16"/>
        <v>0.79999999999999993</v>
      </c>
      <c r="H368" s="22">
        <f>(B368+C368+2*D368)/4</f>
        <v>-1</v>
      </c>
      <c r="I368" s="61">
        <v>-0.94763888888889214</v>
      </c>
      <c r="J368" s="166">
        <v>-0.6</v>
      </c>
      <c r="K368" s="22">
        <v>-1.4</v>
      </c>
      <c r="L368" s="256">
        <v>-0.99534722222222294</v>
      </c>
      <c r="M368" s="67">
        <v>100</v>
      </c>
      <c r="N368" s="52">
        <v>97.4</v>
      </c>
      <c r="O368" s="63">
        <v>99.641041666666609</v>
      </c>
      <c r="P368" s="381">
        <v>1032.9422702022</v>
      </c>
      <c r="Q368" s="53">
        <v>1030.3243488396799</v>
      </c>
      <c r="R368" s="388">
        <v>1031.5264724403214</v>
      </c>
      <c r="S368" s="56">
        <v>8.5000000068000006</v>
      </c>
      <c r="T368" s="49">
        <v>4.4033333368559999</v>
      </c>
      <c r="U368" s="39">
        <v>2.6377602228254942</v>
      </c>
      <c r="V368" s="176" t="s">
        <v>208</v>
      </c>
      <c r="W368" s="199"/>
      <c r="X368" s="40">
        <v>0</v>
      </c>
      <c r="Y368" s="41">
        <v>0</v>
      </c>
      <c r="Z368" s="42">
        <v>0</v>
      </c>
      <c r="AA368" s="399">
        <v>0</v>
      </c>
      <c r="AB368" s="262" t="s">
        <v>448</v>
      </c>
    </row>
  </sheetData>
  <mergeCells count="6">
    <mergeCell ref="B1:I1"/>
    <mergeCell ref="W1:AA1"/>
    <mergeCell ref="S1:V1"/>
    <mergeCell ref="M1:O1"/>
    <mergeCell ref="P1:R1"/>
    <mergeCell ref="J1:L1"/>
  </mergeCells>
  <conditionalFormatting sqref="B1:I33 B61:I1048576">
    <cfRule type="colorScale" priority="37">
      <colorScale>
        <cfvo type="num" val="-20"/>
        <cfvo type="num" val="10"/>
        <cfvo type="num" val="35"/>
        <color rgb="FF00B0F0"/>
        <color rgb="FFFFEB84"/>
        <color rgb="FFFF0000"/>
      </colorScale>
    </cfRule>
  </conditionalFormatting>
  <conditionalFormatting sqref="B34:I60">
    <cfRule type="colorScale" priority="3">
      <colorScale>
        <cfvo type="num" val="-20"/>
        <cfvo type="num" val="10"/>
        <cfvo type="num" val="35"/>
        <color rgb="FF00B0F0"/>
        <color rgb="FFFFEB84"/>
        <color rgb="FFFF0000"/>
      </colorScale>
    </cfRule>
  </conditionalFormatting>
  <conditionalFormatting sqref="J1:L33 J61:L1048576">
    <cfRule type="colorScale" priority="45">
      <colorScale>
        <cfvo type="num" val="-30"/>
        <cfvo type="num" val="5"/>
        <cfvo type="num" val="20"/>
        <color theme="4"/>
        <color theme="0"/>
        <color rgb="FFC00000"/>
      </colorScale>
    </cfRule>
  </conditionalFormatting>
  <conditionalFormatting sqref="J34:L60">
    <cfRule type="colorScale" priority="8">
      <colorScale>
        <cfvo type="num" val="-30"/>
        <cfvo type="num" val="5"/>
        <cfvo type="num" val="20"/>
        <color theme="4"/>
        <color theme="0"/>
        <color rgb="FFC00000"/>
      </colorScale>
    </cfRule>
  </conditionalFormatting>
  <conditionalFormatting sqref="M1:O33 M61:O1048576">
    <cfRule type="colorScale" priority="46">
      <colorScale>
        <cfvo type="num" val="0"/>
        <cfvo type="num" val="50"/>
        <cfvo type="num" val="100"/>
        <color rgb="FFF8696B"/>
        <color rgb="FFFFEB84"/>
        <color rgb="FF63BE7B"/>
      </colorScale>
    </cfRule>
    <cfRule type="cellIs" dxfId="180" priority="44" operator="equal">
      <formula>100</formula>
    </cfRule>
  </conditionalFormatting>
  <conditionalFormatting sqref="M34:O60">
    <cfRule type="colorScale" priority="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ellIs" dxfId="179" priority="7" operator="equal">
      <formula>99</formula>
    </cfRule>
  </conditionalFormatting>
  <conditionalFormatting sqref="P1:R33 P61:R1048576">
    <cfRule type="colorScale" priority="47">
      <colorScale>
        <cfvo type="num" val="980"/>
        <cfvo type="num" val="1010"/>
        <cfvo type="num" val="1040"/>
        <color rgb="FF00B0F0"/>
        <color rgb="FFFFEB84"/>
        <color rgb="FFFF0000"/>
      </colorScale>
    </cfRule>
  </conditionalFormatting>
  <conditionalFormatting sqref="P34:R60">
    <cfRule type="colorScale" priority="10">
      <colorScale>
        <cfvo type="num" val="980"/>
        <cfvo type="num" val="1010"/>
        <cfvo type="num" val="1040"/>
        <color rgb="FF00B0F0"/>
        <color rgb="FFFFEB84"/>
        <color rgb="FFFF0000"/>
      </colorScale>
    </cfRule>
  </conditionalFormatting>
  <conditionalFormatting sqref="S1:S33 S61:S1048576">
    <cfRule type="colorScale" priority="41">
      <colorScale>
        <cfvo type="num" val="0"/>
        <cfvo type="num" val="12.5"/>
        <cfvo type="num" val="25"/>
        <color rgb="FF92D050"/>
        <color rgb="FFFFEB84"/>
        <color rgb="FFFF0000"/>
      </colorScale>
    </cfRule>
  </conditionalFormatting>
  <conditionalFormatting sqref="S34:S60">
    <cfRule type="colorScale" priority="6">
      <colorScale>
        <cfvo type="num" val="0"/>
        <cfvo type="num" val="12.5"/>
        <cfvo type="num" val="25"/>
        <color rgb="FF92D050"/>
        <color rgb="FFFFEB84"/>
        <color rgb="FFFF0000"/>
      </colorScale>
    </cfRule>
  </conditionalFormatting>
  <conditionalFormatting sqref="T1:T33 T61:T1048576">
    <cfRule type="colorScale" priority="40">
      <colorScale>
        <cfvo type="num" val="0"/>
        <cfvo type="num" val="10"/>
        <cfvo type="num" val="20"/>
        <color rgb="FF92D050"/>
        <color rgb="FFFFEB84"/>
        <color rgb="FFFF0000"/>
      </colorScale>
    </cfRule>
  </conditionalFormatting>
  <conditionalFormatting sqref="T34:T60">
    <cfRule type="colorScale" priority="5">
      <colorScale>
        <cfvo type="num" val="0"/>
        <cfvo type="num" val="10"/>
        <cfvo type="num" val="20"/>
        <color rgb="FF92D050"/>
        <color rgb="FFFFEB84"/>
        <color rgb="FFFF0000"/>
      </colorScale>
    </cfRule>
  </conditionalFormatting>
  <conditionalFormatting sqref="U1:U33 U61:U1048576">
    <cfRule type="colorScale" priority="39">
      <colorScale>
        <cfvo type="num" val="0"/>
        <cfvo type="num" val="4"/>
        <cfvo type="num" val="10"/>
        <color rgb="FF92D050"/>
        <color rgb="FFFFEB84"/>
        <color rgb="FFFF0000"/>
      </colorScale>
    </cfRule>
  </conditionalFormatting>
  <conditionalFormatting sqref="U34:U60">
    <cfRule type="colorScale" priority="4">
      <colorScale>
        <cfvo type="num" val="0"/>
        <cfvo type="num" val="4"/>
        <cfvo type="num" val="10"/>
        <color rgb="FF92D050"/>
        <color rgb="FFFFEB84"/>
        <color rgb="FFFF0000"/>
      </colorScale>
    </cfRule>
  </conditionalFormatting>
  <conditionalFormatting sqref="V63:V83 V85:V93 V124:AB139 W140:AB153 V141:V153 V154:AB154">
    <cfRule type="containsBlanks" priority="85">
      <formula>LEN(TRIM(V63))=0</formula>
    </cfRule>
  </conditionalFormatting>
  <conditionalFormatting sqref="V3:AB62">
    <cfRule type="containsBlanks" dxfId="178" priority="11">
      <formula>LEN(TRIM(V3))=0</formula>
    </cfRule>
  </conditionalFormatting>
  <conditionalFormatting sqref="W63:AB93">
    <cfRule type="containsBlanks" dxfId="177" priority="2">
      <formula>LEN(TRIM(W63))=0</formula>
    </cfRule>
    <cfRule type="containsBlanks" priority="1">
      <formula>LEN(TRIM(W63))=0</formula>
    </cfRule>
  </conditionalFormatting>
  <conditionalFormatting sqref="X3:X60">
    <cfRule type="cellIs" dxfId="176" priority="30" operator="greaterThan">
      <formula>150</formula>
    </cfRule>
    <cfRule type="cellIs" dxfId="175" priority="31" operator="between">
      <formula>90</formula>
      <formula>150</formula>
    </cfRule>
    <cfRule type="cellIs" dxfId="174" priority="32" operator="between">
      <formula>50</formula>
      <formula>90</formula>
    </cfRule>
    <cfRule type="cellIs" dxfId="173" priority="33" operator="between">
      <formula>30</formula>
      <formula>50</formula>
    </cfRule>
    <cfRule type="cellIs" dxfId="172" priority="34" operator="between">
      <formula>15</formula>
      <formula>30</formula>
    </cfRule>
    <cfRule type="cellIs" dxfId="171" priority="35" operator="between">
      <formula>5</formula>
      <formula>15</formula>
    </cfRule>
  </conditionalFormatting>
  <conditionalFormatting sqref="X34:X60">
    <cfRule type="cellIs" dxfId="170" priority="36" operator="between">
      <formula>0</formula>
      <formula>5</formula>
    </cfRule>
  </conditionalFormatting>
  <conditionalFormatting sqref="X61:X368">
    <cfRule type="cellIs" dxfId="169" priority="1358" operator="greaterThan">
      <formula>150</formula>
    </cfRule>
    <cfRule type="cellIs" dxfId="168" priority="1359" operator="between">
      <formula>90</formula>
      <formula>150</formula>
    </cfRule>
    <cfRule type="cellIs" dxfId="167" priority="1363" operator="between">
      <formula>5</formula>
      <formula>15</formula>
    </cfRule>
    <cfRule type="cellIs" dxfId="166" priority="1362" operator="between">
      <formula>15</formula>
      <formula>30</formula>
    </cfRule>
    <cfRule type="cellIs" dxfId="165" priority="1361" operator="between">
      <formula>30</formula>
      <formula>50</formula>
    </cfRule>
    <cfRule type="cellIs" dxfId="164" priority="1360" operator="between">
      <formula>50</formula>
      <formula>90</formula>
    </cfRule>
    <cfRule type="cellIs" dxfId="163" priority="1364" operator="between">
      <formula>0</formula>
      <formula>5</formula>
    </cfRule>
  </conditionalFormatting>
  <conditionalFormatting sqref="X3:AA60">
    <cfRule type="cellIs" dxfId="162" priority="12" operator="equal">
      <formula>0</formula>
    </cfRule>
  </conditionalFormatting>
  <conditionalFormatting sqref="X61:AA368">
    <cfRule type="cellIs" dxfId="161" priority="1333" operator="equal">
      <formula>0</formula>
    </cfRule>
  </conditionalFormatting>
  <conditionalFormatting sqref="Y3:Y60">
    <cfRule type="cellIs" dxfId="160" priority="27" operator="between">
      <formula>10</formula>
      <formula>15</formula>
    </cfRule>
    <cfRule type="cellIs" dxfId="159" priority="26" operator="between">
      <formula>15</formula>
      <formula>30</formula>
    </cfRule>
    <cfRule type="cellIs" dxfId="158" priority="25" operator="between">
      <formula>30</formula>
      <formula>45</formula>
    </cfRule>
    <cfRule type="cellIs" dxfId="157" priority="24" operator="between">
      <formula>45</formula>
      <formula>60</formula>
    </cfRule>
    <cfRule type="cellIs" dxfId="156" priority="23" operator="between">
      <formula>60</formula>
      <formula>80</formula>
    </cfRule>
    <cfRule type="cellIs" dxfId="155" priority="22" operator="greaterThan">
      <formula>80</formula>
    </cfRule>
    <cfRule type="cellIs" dxfId="154" priority="28" operator="between">
      <formula>5</formula>
      <formula>10</formula>
    </cfRule>
  </conditionalFormatting>
  <conditionalFormatting sqref="Y34:Y60">
    <cfRule type="cellIs" dxfId="153" priority="29" operator="between">
      <formula>0</formula>
      <formula>5</formula>
    </cfRule>
  </conditionalFormatting>
  <conditionalFormatting sqref="Y61:Y368 X3:Y33">
    <cfRule type="cellIs" dxfId="152" priority="1357" operator="between">
      <formula>0</formula>
      <formula>5</formula>
    </cfRule>
  </conditionalFormatting>
  <conditionalFormatting sqref="Y61:Y368">
    <cfRule type="cellIs" dxfId="151" priority="1352" operator="between">
      <formula>45</formula>
      <formula>60</formula>
    </cfRule>
    <cfRule type="cellIs" dxfId="150" priority="1353" operator="between">
      <formula>30</formula>
      <formula>45</formula>
    </cfRule>
    <cfRule type="cellIs" dxfId="149" priority="1355" operator="between">
      <formula>10</formula>
      <formula>15</formula>
    </cfRule>
    <cfRule type="cellIs" dxfId="148" priority="1356" operator="between">
      <formula>5</formula>
      <formula>10</formula>
    </cfRule>
    <cfRule type="cellIs" dxfId="147" priority="1354" operator="between">
      <formula>15</formula>
      <formula>30</formula>
    </cfRule>
    <cfRule type="cellIs" dxfId="146" priority="1350" operator="greaterThan">
      <formula>80</formula>
    </cfRule>
    <cfRule type="cellIs" dxfId="145" priority="1351" operator="between">
      <formula>60</formula>
      <formula>80</formula>
    </cfRule>
  </conditionalFormatting>
  <conditionalFormatting sqref="Z3:AA60">
    <cfRule type="cellIs" dxfId="144" priority="13" operator="greaterThan">
      <formula>30</formula>
    </cfRule>
    <cfRule type="cellIs" dxfId="143" priority="14" operator="between">
      <formula>20</formula>
      <formula>30</formula>
    </cfRule>
    <cfRule type="cellIs" dxfId="142" priority="15" operator="between">
      <formula>15</formula>
      <formula>20</formula>
    </cfRule>
    <cfRule type="cellIs" dxfId="141" priority="16" operator="between">
      <formula>10</formula>
      <formula>15</formula>
    </cfRule>
    <cfRule type="cellIs" dxfId="140" priority="21" operator="between">
      <formula>0</formula>
      <formula>1</formula>
    </cfRule>
    <cfRule type="cellIs" dxfId="139" priority="17" operator="between">
      <formula>7.5</formula>
      <formula>10</formula>
    </cfRule>
    <cfRule type="cellIs" dxfId="138" priority="20" operator="between">
      <formula>1</formula>
      <formula>3</formula>
    </cfRule>
    <cfRule type="cellIs" dxfId="137" priority="19" operator="between">
      <formula>3</formula>
      <formula>5</formula>
    </cfRule>
    <cfRule type="cellIs" dxfId="136" priority="18" operator="between">
      <formula>5</formula>
      <formula>7.5</formula>
    </cfRule>
  </conditionalFormatting>
  <conditionalFormatting sqref="Z61:AA368">
    <cfRule type="cellIs" dxfId="135" priority="1337" operator="between">
      <formula>10</formula>
      <formula>15</formula>
    </cfRule>
    <cfRule type="cellIs" dxfId="134" priority="1338" operator="between">
      <formula>7.5</formula>
      <formula>10</formula>
    </cfRule>
    <cfRule type="cellIs" dxfId="133" priority="1339" operator="between">
      <formula>5</formula>
      <formula>7.5</formula>
    </cfRule>
    <cfRule type="cellIs" dxfId="132" priority="1340" operator="between">
      <formula>3</formula>
      <formula>5</formula>
    </cfRule>
    <cfRule type="cellIs" dxfId="131" priority="1335" operator="between">
      <formula>20</formula>
      <formula>30</formula>
    </cfRule>
    <cfRule type="cellIs" dxfId="130" priority="1336" operator="between">
      <formula>15</formula>
      <formula>20</formula>
    </cfRule>
    <cfRule type="cellIs" dxfId="129" priority="1342" operator="between">
      <formula>0</formula>
      <formula>1</formula>
    </cfRule>
    <cfRule type="cellIs" dxfId="128" priority="1334" operator="greaterThan">
      <formula>30</formula>
    </cfRule>
    <cfRule type="cellIs" dxfId="127" priority="1341" operator="between">
      <formula>1</formula>
      <formula>3</formula>
    </cfRule>
  </conditionalFormatting>
  <conditionalFormatting sqref="AC47 V63:V83 V85:V93 V94:AB95 W96:AB123 V97:V123 V124:AB139 W140:AB153 V141:V153 V154:AB343 V344:V363 W344:AB364 V365:AB368">
    <cfRule type="containsBlanks" dxfId="126" priority="1312">
      <formula>LEN(TRIM(V47))=0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5"/>
  <dimension ref="A1:Y263"/>
  <sheetViews>
    <sheetView zoomScale="85" zoomScaleNormal="85" workbookViewId="0">
      <pane xSplit="2" ySplit="2" topLeftCell="C170" activePane="bottomRight" state="frozen"/>
      <selection pane="topRight" activeCell="C1" sqref="C1"/>
      <selection pane="bottomLeft" activeCell="A3" sqref="A3"/>
      <selection pane="bottomRight" activeCell="J176" sqref="J176"/>
    </sheetView>
  </sheetViews>
  <sheetFormatPr defaultColWidth="9.109375" defaultRowHeight="14.4" x14ac:dyDescent="0.3"/>
  <cols>
    <col min="1" max="1" width="12.33203125" style="118" customWidth="1"/>
    <col min="2" max="2" width="11.109375" style="118" customWidth="1"/>
    <col min="3" max="4" width="17.109375" style="118" customWidth="1"/>
    <col min="5" max="5" width="9.109375" style="118"/>
    <col min="6" max="6" width="11.109375" style="118" customWidth="1"/>
    <col min="7" max="7" width="11.109375" style="119" customWidth="1"/>
    <col min="8" max="8" width="11.109375" style="118" customWidth="1"/>
    <col min="9" max="9" width="11" style="118" customWidth="1"/>
    <col min="10" max="10" width="12.109375" style="118" customWidth="1"/>
    <col min="11" max="11" width="11.44140625" style="118" bestFit="1" customWidth="1"/>
    <col min="12" max="13" width="9.109375" style="118"/>
    <col min="14" max="14" width="11.44140625" style="118" customWidth="1"/>
    <col min="15" max="15" width="10.44140625" style="118" bestFit="1" customWidth="1"/>
    <col min="16" max="16" width="10" style="118" customWidth="1"/>
    <col min="17" max="17" width="9.109375" style="118"/>
    <col min="18" max="18" width="13.33203125" style="118" customWidth="1"/>
    <col min="19" max="19" width="14.44140625" style="158" customWidth="1"/>
    <col min="20" max="20" width="12.44140625" style="118" customWidth="1"/>
    <col min="21" max="22" width="42.88671875" style="118" customWidth="1"/>
    <col min="23" max="16384" width="9.109375" style="118"/>
  </cols>
  <sheetData>
    <row r="1" spans="1:25" s="99" customFormat="1" ht="16.5" customHeight="1" thickBot="1" x14ac:dyDescent="0.35">
      <c r="A1" s="478" t="s">
        <v>0</v>
      </c>
      <c r="B1" s="478" t="s">
        <v>121</v>
      </c>
      <c r="C1" s="488" t="s">
        <v>203</v>
      </c>
      <c r="D1" s="489"/>
      <c r="E1" s="480" t="s">
        <v>123</v>
      </c>
      <c r="F1" s="481"/>
      <c r="G1" s="481"/>
      <c r="H1" s="482"/>
      <c r="I1" s="486" t="s">
        <v>124</v>
      </c>
      <c r="J1" s="487"/>
      <c r="K1" s="483" t="s">
        <v>10</v>
      </c>
      <c r="L1" s="484"/>
      <c r="M1" s="485"/>
      <c r="N1" s="466" t="s">
        <v>125</v>
      </c>
      <c r="O1" s="467"/>
      <c r="P1" s="467"/>
      <c r="Q1" s="468"/>
      <c r="R1" s="469" t="s">
        <v>126</v>
      </c>
      <c r="S1" s="470"/>
      <c r="T1" s="470"/>
      <c r="U1" s="473" t="s">
        <v>127</v>
      </c>
      <c r="V1" s="357"/>
      <c r="W1" s="312"/>
      <c r="X1" s="312"/>
      <c r="Y1" s="312"/>
    </row>
    <row r="2" spans="1:25" s="111" customFormat="1" ht="63" thickBot="1" x14ac:dyDescent="0.35">
      <c r="A2" s="479"/>
      <c r="B2" s="479"/>
      <c r="C2" s="295" t="s">
        <v>122</v>
      </c>
      <c r="D2" s="295" t="s">
        <v>202</v>
      </c>
      <c r="E2" s="100" t="s">
        <v>128</v>
      </c>
      <c r="F2" s="100" t="s">
        <v>196</v>
      </c>
      <c r="G2" s="340" t="s">
        <v>190</v>
      </c>
      <c r="H2" s="100" t="s">
        <v>213</v>
      </c>
      <c r="I2" s="101" t="s">
        <v>130</v>
      </c>
      <c r="J2" s="102" t="s">
        <v>131</v>
      </c>
      <c r="K2" s="103" t="s">
        <v>132</v>
      </c>
      <c r="L2" s="104" t="s">
        <v>133</v>
      </c>
      <c r="M2" s="105" t="s">
        <v>131</v>
      </c>
      <c r="N2" s="106" t="s">
        <v>16</v>
      </c>
      <c r="O2" s="107" t="s">
        <v>17</v>
      </c>
      <c r="P2" s="107" t="s">
        <v>42</v>
      </c>
      <c r="Q2" s="108" t="s">
        <v>134</v>
      </c>
      <c r="R2" s="157" t="s">
        <v>17</v>
      </c>
      <c r="S2" s="109" t="s">
        <v>135</v>
      </c>
      <c r="T2" s="110" t="s">
        <v>136</v>
      </c>
      <c r="U2" s="474"/>
      <c r="V2" s="35"/>
      <c r="W2" s="36"/>
      <c r="X2" s="36"/>
      <c r="Y2" s="36"/>
    </row>
    <row r="3" spans="1:25" s="133" customFormat="1" ht="15" thickBot="1" x14ac:dyDescent="0.35">
      <c r="G3" s="134"/>
      <c r="R3" s="161"/>
    </row>
    <row r="4" spans="1:25" s="80" customFormat="1" ht="15" thickBot="1" x14ac:dyDescent="0.35">
      <c r="A4" s="268" t="s">
        <v>108</v>
      </c>
      <c r="G4" s="149"/>
      <c r="R4" s="162"/>
    </row>
    <row r="5" spans="1:25" s="265" customFormat="1" x14ac:dyDescent="0.3">
      <c r="G5" s="119"/>
      <c r="R5" s="267"/>
    </row>
    <row r="6" spans="1:25" x14ac:dyDescent="0.3">
      <c r="R6" s="158"/>
      <c r="S6" s="118"/>
    </row>
    <row r="7" spans="1:25" x14ac:dyDescent="0.3">
      <c r="R7" s="158"/>
      <c r="S7" s="118"/>
    </row>
    <row r="8" spans="1:25" x14ac:dyDescent="0.3">
      <c r="C8" s="51" t="s">
        <v>137</v>
      </c>
      <c r="D8" s="51"/>
      <c r="H8" s="118">
        <f>COUNTIF(T5:T7,"*áno*")</f>
        <v>0</v>
      </c>
      <c r="R8" s="158"/>
      <c r="S8" s="118"/>
    </row>
    <row r="9" spans="1:25" x14ac:dyDescent="0.3">
      <c r="C9" s="51" t="s">
        <v>138</v>
      </c>
      <c r="D9" s="51"/>
      <c r="H9" s="118">
        <f>COUNTIF(E5:E7,"*w*")</f>
        <v>0</v>
      </c>
      <c r="R9" s="158"/>
      <c r="S9" s="118"/>
    </row>
    <row r="10" spans="1:25" x14ac:dyDescent="0.3">
      <c r="C10" s="51" t="s">
        <v>139</v>
      </c>
      <c r="D10" s="51"/>
      <c r="H10" s="118">
        <f>COUNTIF(E5:E7,"*P*")</f>
        <v>0</v>
      </c>
      <c r="R10" s="158"/>
      <c r="S10" s="118"/>
    </row>
    <row r="11" spans="1:25" x14ac:dyDescent="0.3">
      <c r="C11" s="51" t="s">
        <v>140</v>
      </c>
      <c r="D11" s="51"/>
      <c r="H11" s="118">
        <f>COUNTIF(E5:E7,"*L*")</f>
        <v>0</v>
      </c>
      <c r="R11" s="158"/>
      <c r="S11" s="118"/>
    </row>
    <row r="12" spans="1:25" x14ac:dyDescent="0.3">
      <c r="C12" s="51" t="s">
        <v>141</v>
      </c>
      <c r="D12" s="51"/>
      <c r="H12" s="118">
        <f>COUNTIF(E5:E7,"*V*")</f>
        <v>0</v>
      </c>
      <c r="R12" s="158"/>
      <c r="S12" s="118"/>
    </row>
    <row r="13" spans="1:25" x14ac:dyDescent="0.3">
      <c r="C13" s="51"/>
      <c r="D13" s="51"/>
      <c r="R13" s="158"/>
      <c r="S13" s="118"/>
    </row>
    <row r="14" spans="1:25" x14ac:dyDescent="0.3">
      <c r="C14" s="51" t="s">
        <v>142</v>
      </c>
      <c r="D14" s="51"/>
      <c r="H14" s="118">
        <f>COUNTIF(E5:E7,"*D*")</f>
        <v>0</v>
      </c>
      <c r="R14" s="158"/>
      <c r="S14" s="118"/>
    </row>
    <row r="15" spans="1:25" x14ac:dyDescent="0.3">
      <c r="C15" s="51" t="s">
        <v>143</v>
      </c>
      <c r="D15" s="51"/>
      <c r="H15" s="118">
        <f>COUNTIF(E5:E7,"*S*")</f>
        <v>0</v>
      </c>
      <c r="R15" s="158"/>
      <c r="S15" s="118"/>
    </row>
    <row r="16" spans="1:25" x14ac:dyDescent="0.3">
      <c r="C16" s="51" t="s">
        <v>144</v>
      </c>
      <c r="D16" s="51"/>
      <c r="H16" s="118">
        <f>COUNTIF(E5:E7,"*K*")</f>
        <v>0</v>
      </c>
      <c r="R16" s="158"/>
      <c r="S16" s="118"/>
    </row>
    <row r="17" spans="1:25" s="133" customFormat="1" ht="15" thickBot="1" x14ac:dyDescent="0.35">
      <c r="C17" s="144" t="s">
        <v>145</v>
      </c>
      <c r="D17" s="144"/>
      <c r="G17" s="119"/>
      <c r="H17" s="133">
        <f>COUNTIF(E5:E7,"*Z*")</f>
        <v>0</v>
      </c>
      <c r="R17" s="161"/>
    </row>
    <row r="18" spans="1:25" s="80" customFormat="1" ht="15" thickBot="1" x14ac:dyDescent="0.35">
      <c r="A18" s="268" t="s">
        <v>107</v>
      </c>
      <c r="C18" s="190"/>
      <c r="D18" s="190"/>
      <c r="G18" s="119"/>
      <c r="R18" s="162"/>
    </row>
    <row r="19" spans="1:25" s="265" customFormat="1" x14ac:dyDescent="0.3">
      <c r="C19" s="266"/>
      <c r="D19" s="266"/>
      <c r="G19" s="119"/>
      <c r="R19" s="267"/>
    </row>
    <row r="20" spans="1:25" x14ac:dyDescent="0.3">
      <c r="C20" s="51"/>
      <c r="D20" s="51"/>
      <c r="R20" s="158"/>
      <c r="S20" s="118"/>
    </row>
    <row r="21" spans="1:25" x14ac:dyDescent="0.3">
      <c r="C21" s="51"/>
      <c r="D21" s="51"/>
      <c r="R21" s="158"/>
      <c r="S21" s="118"/>
    </row>
    <row r="22" spans="1:25" x14ac:dyDescent="0.3">
      <c r="C22" s="51" t="s">
        <v>137</v>
      </c>
      <c r="D22" s="51"/>
      <c r="H22" s="118">
        <f>COUNTIF(T19:T21,"*áno*")</f>
        <v>0</v>
      </c>
      <c r="R22" s="158"/>
      <c r="S22" s="118"/>
    </row>
    <row r="23" spans="1:25" x14ac:dyDescent="0.3">
      <c r="C23" s="51" t="s">
        <v>138</v>
      </c>
      <c r="D23" s="51"/>
      <c r="H23" s="118">
        <f>COUNTIF(E19:E21,"*w*")</f>
        <v>0</v>
      </c>
      <c r="R23" s="158"/>
      <c r="S23" s="118"/>
    </row>
    <row r="24" spans="1:25" x14ac:dyDescent="0.3">
      <c r="C24" s="51" t="s">
        <v>139</v>
      </c>
      <c r="D24" s="51"/>
      <c r="H24" s="118">
        <f>COUNTIF(E19:E21,"*P*")</f>
        <v>0</v>
      </c>
      <c r="R24" s="158"/>
      <c r="S24" s="118"/>
    </row>
    <row r="25" spans="1:25" x14ac:dyDescent="0.3">
      <c r="C25" s="51" t="s">
        <v>140</v>
      </c>
      <c r="D25" s="51"/>
      <c r="H25" s="118">
        <f>COUNTIF(E19:E21,"*L*")</f>
        <v>0</v>
      </c>
      <c r="R25" s="158"/>
      <c r="S25" s="118"/>
    </row>
    <row r="26" spans="1:25" x14ac:dyDescent="0.3">
      <c r="C26" s="51" t="s">
        <v>141</v>
      </c>
      <c r="D26" s="51"/>
      <c r="H26" s="118">
        <f>COUNTIF(E19:E21,"*V*")</f>
        <v>0</v>
      </c>
      <c r="R26" s="158"/>
      <c r="S26" s="118"/>
    </row>
    <row r="27" spans="1:25" x14ac:dyDescent="0.3">
      <c r="C27" s="51"/>
      <c r="D27" s="51"/>
      <c r="R27" s="158"/>
      <c r="S27" s="118"/>
    </row>
    <row r="28" spans="1:25" x14ac:dyDescent="0.3">
      <c r="C28" s="51" t="s">
        <v>142</v>
      </c>
      <c r="D28" s="51"/>
      <c r="H28" s="118">
        <f>COUNTIF(E19:E21,"*D*")</f>
        <v>0</v>
      </c>
      <c r="R28" s="158"/>
      <c r="S28" s="118"/>
    </row>
    <row r="29" spans="1:25" x14ac:dyDescent="0.3">
      <c r="C29" s="51" t="s">
        <v>143</v>
      </c>
      <c r="D29" s="51"/>
      <c r="H29" s="118">
        <f>COUNTIF(E19:E21,"*S*")</f>
        <v>0</v>
      </c>
      <c r="R29" s="158"/>
      <c r="S29" s="118"/>
    </row>
    <row r="30" spans="1:25" x14ac:dyDescent="0.3">
      <c r="C30" s="51" t="s">
        <v>144</v>
      </c>
      <c r="D30" s="51"/>
      <c r="H30" s="118">
        <f>COUNTIF(E19:E21,"*K*")</f>
        <v>0</v>
      </c>
      <c r="R30" s="158"/>
      <c r="S30" s="118"/>
    </row>
    <row r="31" spans="1:25" ht="15" thickBot="1" x14ac:dyDescent="0.35">
      <c r="C31" s="51" t="s">
        <v>145</v>
      </c>
      <c r="D31" s="51"/>
      <c r="H31" s="118">
        <f>COUNTIF(E19:E21,"*Z*")</f>
        <v>0</v>
      </c>
      <c r="R31" s="158"/>
      <c r="S31" s="118"/>
    </row>
    <row r="32" spans="1:25" s="116" customFormat="1" ht="16.2" thickBot="1" x14ac:dyDescent="0.35">
      <c r="A32" s="112" t="s">
        <v>104</v>
      </c>
      <c r="B32" s="113"/>
      <c r="C32" s="113"/>
      <c r="D32" s="113"/>
      <c r="E32" s="113"/>
      <c r="F32" s="113"/>
      <c r="G32" s="119"/>
      <c r="H32" s="114"/>
      <c r="I32" s="115"/>
      <c r="J32" s="115"/>
      <c r="K32" s="115"/>
      <c r="L32" s="115"/>
      <c r="M32" s="115"/>
      <c r="N32" s="115"/>
      <c r="O32" s="115"/>
      <c r="P32" s="115"/>
      <c r="Q32" s="115"/>
      <c r="R32" s="159"/>
      <c r="S32" s="115"/>
      <c r="T32" s="115"/>
      <c r="V32" s="358"/>
      <c r="W32" s="358"/>
      <c r="X32" s="358"/>
      <c r="Y32" s="358"/>
    </row>
    <row r="33" spans="1:21" ht="28.8" x14ac:dyDescent="0.3">
      <c r="A33" s="117">
        <v>45356</v>
      </c>
      <c r="B33" s="284" t="s">
        <v>267</v>
      </c>
      <c r="C33" s="118" t="s">
        <v>268</v>
      </c>
      <c r="D33" s="118" t="s">
        <v>269</v>
      </c>
      <c r="E33" s="118" t="s">
        <v>270</v>
      </c>
      <c r="F33" s="118" t="s">
        <v>271</v>
      </c>
      <c r="G33" s="119">
        <v>50</v>
      </c>
      <c r="H33" s="119">
        <v>38</v>
      </c>
      <c r="I33" s="118" t="s">
        <v>272</v>
      </c>
      <c r="J33" s="118" t="s">
        <v>273</v>
      </c>
      <c r="K33" s="121">
        <v>5.0999999999999996</v>
      </c>
      <c r="L33" s="121">
        <v>1.5</v>
      </c>
      <c r="M33" s="118" t="s">
        <v>209</v>
      </c>
      <c r="N33" s="122">
        <v>54</v>
      </c>
      <c r="O33" s="123">
        <v>8.1</v>
      </c>
      <c r="P33" s="123">
        <v>5</v>
      </c>
      <c r="Q33" s="124">
        <v>0</v>
      </c>
      <c r="R33" s="158">
        <v>91</v>
      </c>
      <c r="S33" s="120">
        <v>1.4</v>
      </c>
      <c r="T33" s="118" t="s">
        <v>266</v>
      </c>
    </row>
    <row r="34" spans="1:21" x14ac:dyDescent="0.3">
      <c r="A34" s="117"/>
      <c r="B34" s="284"/>
      <c r="H34" s="119"/>
      <c r="K34" s="121"/>
      <c r="L34" s="121"/>
      <c r="N34" s="122"/>
      <c r="O34" s="123"/>
      <c r="P34" s="123"/>
      <c r="Q34" s="124"/>
      <c r="R34" s="158"/>
      <c r="S34" s="120"/>
    </row>
    <row r="35" spans="1:21" x14ac:dyDescent="0.3">
      <c r="A35" s="117"/>
      <c r="H35" s="119"/>
      <c r="K35" s="121"/>
      <c r="L35" s="121"/>
      <c r="N35" s="122"/>
      <c r="O35" s="123"/>
      <c r="P35" s="123"/>
      <c r="Q35" s="124"/>
      <c r="R35" s="158"/>
      <c r="S35" s="120"/>
    </row>
    <row r="36" spans="1:21" x14ac:dyDescent="0.3">
      <c r="A36" s="117"/>
      <c r="H36" s="119"/>
      <c r="K36" s="121"/>
      <c r="L36" s="121"/>
      <c r="N36" s="122"/>
      <c r="O36" s="123"/>
      <c r="P36" s="123"/>
      <c r="Q36" s="124"/>
      <c r="R36" s="158"/>
      <c r="S36" s="120"/>
    </row>
    <row r="37" spans="1:21" x14ac:dyDescent="0.3">
      <c r="A37" s="117"/>
      <c r="C37" s="51" t="s">
        <v>137</v>
      </c>
      <c r="D37" s="51"/>
      <c r="H37" s="118">
        <f>COUNTIF(T33:T36,"*áno*")</f>
        <v>1</v>
      </c>
      <c r="K37" s="121"/>
      <c r="L37" s="121"/>
      <c r="N37" s="122"/>
      <c r="O37" s="123"/>
      <c r="P37" s="123"/>
      <c r="Q37" s="124"/>
      <c r="R37" s="158"/>
      <c r="S37" s="120"/>
    </row>
    <row r="38" spans="1:21" x14ac:dyDescent="0.3">
      <c r="A38" s="117"/>
      <c r="C38" s="51" t="s">
        <v>138</v>
      </c>
      <c r="D38" s="51"/>
      <c r="H38" s="118">
        <f>COUNTIF(E33:E36,"*w*")</f>
        <v>1</v>
      </c>
      <c r="K38" s="121"/>
      <c r="L38" s="121"/>
      <c r="N38" s="122"/>
      <c r="O38" s="123"/>
      <c r="P38" s="123"/>
      <c r="Q38" s="124"/>
      <c r="R38" s="158"/>
      <c r="S38" s="120"/>
    </row>
    <row r="39" spans="1:21" x14ac:dyDescent="0.3">
      <c r="A39" s="117"/>
      <c r="C39" s="51" t="s">
        <v>139</v>
      </c>
      <c r="D39" s="51"/>
      <c r="H39" s="118">
        <f>COUNTIF(E33:E36,"*P*")</f>
        <v>1</v>
      </c>
      <c r="K39" s="121"/>
      <c r="L39" s="121"/>
      <c r="N39" s="122"/>
      <c r="O39" s="123"/>
      <c r="P39" s="123"/>
      <c r="Q39" s="124"/>
      <c r="R39" s="158"/>
      <c r="S39" s="120"/>
    </row>
    <row r="40" spans="1:21" x14ac:dyDescent="0.3">
      <c r="A40" s="117"/>
      <c r="C40" s="51" t="s">
        <v>140</v>
      </c>
      <c r="D40" s="51"/>
      <c r="H40" s="118">
        <f>COUNTIF(E33:E36,"*L*")</f>
        <v>0</v>
      </c>
      <c r="K40" s="121"/>
      <c r="L40" s="121"/>
      <c r="N40" s="122"/>
      <c r="O40" s="123"/>
      <c r="P40" s="123"/>
      <c r="Q40" s="124"/>
      <c r="R40" s="158"/>
      <c r="S40" s="120"/>
    </row>
    <row r="41" spans="1:21" x14ac:dyDescent="0.3">
      <c r="A41" s="117"/>
      <c r="C41" s="51" t="s">
        <v>141</v>
      </c>
      <c r="D41" s="51"/>
      <c r="H41" s="118">
        <f>COUNTIF(E33:E36,"*V*")</f>
        <v>0</v>
      </c>
      <c r="K41" s="121"/>
      <c r="L41" s="121"/>
      <c r="N41" s="122"/>
      <c r="O41" s="123"/>
      <c r="P41" s="123"/>
      <c r="Q41" s="124"/>
      <c r="R41" s="158"/>
      <c r="S41" s="120"/>
    </row>
    <row r="42" spans="1:21" x14ac:dyDescent="0.3">
      <c r="A42" s="117"/>
      <c r="C42" s="51"/>
      <c r="D42" s="51"/>
      <c r="K42" s="121"/>
      <c r="L42" s="121"/>
      <c r="N42" s="122"/>
      <c r="O42" s="123"/>
      <c r="P42" s="123"/>
      <c r="Q42" s="124"/>
      <c r="R42" s="158"/>
      <c r="S42" s="120"/>
    </row>
    <row r="43" spans="1:21" x14ac:dyDescent="0.3">
      <c r="A43" s="117"/>
      <c r="C43" s="51" t="s">
        <v>142</v>
      </c>
      <c r="D43" s="51"/>
      <c r="H43" s="118">
        <f>COUNTIF(E32:E32,"*D*")</f>
        <v>0</v>
      </c>
      <c r="K43" s="121"/>
      <c r="L43" s="121"/>
      <c r="N43" s="122"/>
      <c r="O43" s="123"/>
      <c r="P43" s="123"/>
      <c r="Q43" s="124"/>
      <c r="R43" s="158"/>
      <c r="S43" s="120"/>
    </row>
    <row r="44" spans="1:21" x14ac:dyDescent="0.3">
      <c r="A44" s="117"/>
      <c r="C44" s="51" t="s">
        <v>143</v>
      </c>
      <c r="D44" s="51"/>
      <c r="H44" s="118">
        <f>COUNTIF(E33:E36,"*S*")</f>
        <v>0</v>
      </c>
      <c r="K44" s="121"/>
      <c r="L44" s="121"/>
      <c r="N44" s="122"/>
      <c r="O44" s="123"/>
      <c r="P44" s="123"/>
      <c r="Q44" s="124"/>
      <c r="R44" s="158"/>
      <c r="S44" s="120"/>
    </row>
    <row r="45" spans="1:21" x14ac:dyDescent="0.3">
      <c r="A45" s="117"/>
      <c r="C45" s="51" t="s">
        <v>144</v>
      </c>
      <c r="D45" s="51"/>
      <c r="H45" s="118">
        <f>COUNTIF(E33:E36,"*K*")</f>
        <v>1</v>
      </c>
      <c r="K45" s="121"/>
      <c r="L45" s="121"/>
      <c r="N45" s="122"/>
      <c r="O45" s="123"/>
      <c r="P45" s="123"/>
      <c r="Q45" s="124"/>
      <c r="R45" s="158"/>
      <c r="S45" s="120"/>
    </row>
    <row r="46" spans="1:21" ht="15" thickBot="1" x14ac:dyDescent="0.35">
      <c r="A46" s="117"/>
      <c r="C46" s="51" t="s">
        <v>145</v>
      </c>
      <c r="D46" s="51"/>
      <c r="H46" s="118">
        <f>COUNTIF(E33:E36,"*Z*")</f>
        <v>1</v>
      </c>
      <c r="K46" s="121"/>
      <c r="L46" s="121"/>
      <c r="N46" s="122"/>
      <c r="O46" s="123"/>
      <c r="P46" s="123"/>
      <c r="Q46" s="124"/>
      <c r="R46" s="158"/>
      <c r="S46" s="120"/>
    </row>
    <row r="47" spans="1:21" s="113" customFormat="1" ht="16.2" thickBot="1" x14ac:dyDescent="0.35">
      <c r="A47" s="125" t="s">
        <v>105</v>
      </c>
      <c r="G47" s="119"/>
      <c r="H47" s="114"/>
      <c r="K47" s="127"/>
      <c r="L47" s="127"/>
      <c r="N47" s="128"/>
      <c r="O47" s="129"/>
      <c r="P47" s="129"/>
      <c r="Q47" s="130"/>
      <c r="R47" s="160"/>
      <c r="S47" s="126"/>
      <c r="T47" s="131"/>
    </row>
    <row r="48" spans="1:21" s="133" customFormat="1" ht="43.2" x14ac:dyDescent="0.3">
      <c r="A48" s="132">
        <v>45397</v>
      </c>
      <c r="B48" s="133" t="s">
        <v>286</v>
      </c>
      <c r="C48" s="133" t="s">
        <v>287</v>
      </c>
      <c r="D48" s="133" t="s">
        <v>269</v>
      </c>
      <c r="E48" s="133" t="s">
        <v>288</v>
      </c>
      <c r="F48" s="133" t="s">
        <v>296</v>
      </c>
      <c r="G48" s="119">
        <v>54</v>
      </c>
      <c r="H48" s="134">
        <v>43</v>
      </c>
      <c r="I48" s="133" t="s">
        <v>290</v>
      </c>
      <c r="J48" s="133" t="s">
        <v>289</v>
      </c>
      <c r="K48" s="136">
        <v>4.0999999999999996</v>
      </c>
      <c r="L48" s="136">
        <v>1.3</v>
      </c>
      <c r="M48" s="133" t="s">
        <v>210</v>
      </c>
      <c r="N48" s="137"/>
      <c r="O48" s="138">
        <v>2</v>
      </c>
      <c r="P48" s="138">
        <v>0</v>
      </c>
      <c r="Q48" s="139">
        <v>0</v>
      </c>
      <c r="R48" s="161">
        <v>2</v>
      </c>
      <c r="S48" s="135">
        <v>4.4000000000000004</v>
      </c>
      <c r="T48" s="133" t="s">
        <v>266</v>
      </c>
      <c r="U48" s="133" t="s">
        <v>295</v>
      </c>
    </row>
    <row r="49" spans="1:19" s="133" customFormat="1" x14ac:dyDescent="0.3">
      <c r="A49" s="132"/>
      <c r="B49" s="141"/>
      <c r="G49" s="119"/>
      <c r="H49" s="134"/>
      <c r="K49" s="136"/>
      <c r="L49" s="136"/>
      <c r="N49" s="137"/>
      <c r="O49" s="138"/>
      <c r="P49" s="138"/>
      <c r="Q49" s="139"/>
      <c r="R49" s="161"/>
      <c r="S49" s="135"/>
    </row>
    <row r="50" spans="1:19" s="133" customFormat="1" x14ac:dyDescent="0.3">
      <c r="A50" s="132"/>
      <c r="B50" s="141"/>
      <c r="G50" s="119"/>
      <c r="H50" s="134"/>
      <c r="K50" s="136"/>
      <c r="L50" s="136"/>
      <c r="N50" s="137"/>
      <c r="O50" s="138"/>
      <c r="P50" s="138"/>
      <c r="Q50" s="139"/>
      <c r="R50" s="161"/>
      <c r="S50" s="135"/>
    </row>
    <row r="51" spans="1:19" s="133" customFormat="1" x14ac:dyDescent="0.3">
      <c r="A51" s="132"/>
      <c r="B51" s="141"/>
      <c r="G51" s="119"/>
      <c r="H51" s="134"/>
      <c r="K51" s="136"/>
      <c r="L51" s="136"/>
      <c r="N51" s="137"/>
      <c r="O51" s="138"/>
      <c r="P51" s="138"/>
      <c r="Q51" s="139"/>
      <c r="R51" s="161"/>
      <c r="S51" s="135"/>
    </row>
    <row r="52" spans="1:19" s="133" customFormat="1" x14ac:dyDescent="0.3">
      <c r="A52" s="132"/>
      <c r="B52" s="141"/>
      <c r="G52" s="119"/>
      <c r="H52" s="134"/>
      <c r="K52" s="136"/>
      <c r="L52" s="136"/>
      <c r="N52" s="137"/>
      <c r="O52" s="138"/>
      <c r="P52" s="138"/>
      <c r="Q52" s="139"/>
      <c r="R52" s="161"/>
      <c r="S52" s="135"/>
    </row>
    <row r="53" spans="1:19" s="133" customFormat="1" x14ac:dyDescent="0.3">
      <c r="A53" s="132"/>
      <c r="G53" s="119"/>
      <c r="H53" s="134"/>
      <c r="K53" s="136"/>
      <c r="L53" s="136"/>
      <c r="N53" s="137"/>
      <c r="O53" s="138"/>
      <c r="P53" s="138"/>
      <c r="Q53" s="139"/>
      <c r="R53" s="161"/>
      <c r="S53" s="135"/>
    </row>
    <row r="54" spans="1:19" x14ac:dyDescent="0.3">
      <c r="A54" s="117"/>
      <c r="H54" s="119"/>
      <c r="K54" s="121"/>
      <c r="L54" s="121"/>
      <c r="N54" s="122"/>
      <c r="O54" s="123"/>
      <c r="P54" s="123"/>
      <c r="Q54" s="124"/>
      <c r="R54" s="158"/>
      <c r="S54" s="120"/>
    </row>
    <row r="55" spans="1:19" x14ac:dyDescent="0.3">
      <c r="A55" s="117"/>
      <c r="C55" s="51" t="s">
        <v>137</v>
      </c>
      <c r="D55" s="51"/>
      <c r="H55" s="118">
        <f>COUNTIF(T48:T54,"*áno*")</f>
        <v>1</v>
      </c>
      <c r="K55" s="121"/>
      <c r="L55" s="121"/>
      <c r="N55" s="122"/>
      <c r="O55" s="123"/>
      <c r="P55" s="123"/>
      <c r="Q55" s="124"/>
      <c r="R55" s="158"/>
      <c r="S55" s="120"/>
    </row>
    <row r="56" spans="1:19" x14ac:dyDescent="0.3">
      <c r="A56" s="117"/>
      <c r="C56" s="51" t="s">
        <v>138</v>
      </c>
      <c r="D56" s="51"/>
      <c r="H56" s="118">
        <f>COUNTIF(E48:E54,"*w*")</f>
        <v>1</v>
      </c>
      <c r="K56" s="121"/>
      <c r="L56" s="121"/>
      <c r="N56" s="122"/>
      <c r="O56" s="123"/>
      <c r="P56" s="123"/>
      <c r="Q56" s="124"/>
      <c r="R56" s="158"/>
      <c r="S56" s="120"/>
    </row>
    <row r="57" spans="1:19" x14ac:dyDescent="0.3">
      <c r="A57" s="117"/>
      <c r="C57" s="51" t="s">
        <v>139</v>
      </c>
      <c r="D57" s="51"/>
      <c r="H57" s="118">
        <f>COUNTIF(E48:E54,"*P*")</f>
        <v>0</v>
      </c>
      <c r="K57" s="121"/>
      <c r="L57" s="121"/>
      <c r="N57" s="122"/>
      <c r="O57" s="123"/>
      <c r="P57" s="123"/>
      <c r="Q57" s="124"/>
      <c r="R57" s="158"/>
      <c r="S57" s="120"/>
    </row>
    <row r="58" spans="1:19" x14ac:dyDescent="0.3">
      <c r="A58" s="117"/>
      <c r="C58" s="51" t="s">
        <v>140</v>
      </c>
      <c r="D58" s="51"/>
      <c r="H58" s="118">
        <f>COUNTIF(E48:E54,"*L*")</f>
        <v>1</v>
      </c>
      <c r="K58" s="121"/>
      <c r="L58" s="121"/>
      <c r="N58" s="122"/>
      <c r="O58" s="123"/>
      <c r="P58" s="123"/>
      <c r="Q58" s="124"/>
      <c r="R58" s="158"/>
      <c r="S58" s="120"/>
    </row>
    <row r="59" spans="1:19" x14ac:dyDescent="0.3">
      <c r="A59" s="117"/>
      <c r="C59" s="51" t="s">
        <v>141</v>
      </c>
      <c r="D59" s="51"/>
      <c r="H59" s="118">
        <f>COUNTIF(E48:E54,"*V*")</f>
        <v>0</v>
      </c>
      <c r="K59" s="121"/>
      <c r="L59" s="121"/>
      <c r="N59" s="122"/>
      <c r="O59" s="123"/>
      <c r="P59" s="123"/>
      <c r="Q59" s="124"/>
      <c r="R59" s="158"/>
      <c r="S59" s="120"/>
    </row>
    <row r="60" spans="1:19" x14ac:dyDescent="0.3">
      <c r="A60" s="117"/>
      <c r="C60" s="51"/>
      <c r="D60" s="51"/>
      <c r="K60" s="121"/>
      <c r="L60" s="121"/>
      <c r="N60" s="122"/>
      <c r="O60" s="123"/>
      <c r="P60" s="123"/>
      <c r="Q60" s="124"/>
      <c r="R60" s="158"/>
      <c r="S60" s="120"/>
    </row>
    <row r="61" spans="1:19" x14ac:dyDescent="0.3">
      <c r="A61" s="117"/>
      <c r="C61" s="51" t="s">
        <v>142</v>
      </c>
      <c r="D61" s="51"/>
      <c r="H61" s="118">
        <f>COUNTIF(E48:E54,"*D*")</f>
        <v>1</v>
      </c>
      <c r="K61" s="121"/>
      <c r="L61" s="121"/>
      <c r="N61" s="122"/>
      <c r="O61" s="123"/>
      <c r="P61" s="123"/>
      <c r="Q61" s="124"/>
      <c r="R61" s="158"/>
      <c r="S61" s="120"/>
    </row>
    <row r="62" spans="1:19" x14ac:dyDescent="0.3">
      <c r="A62" s="117"/>
      <c r="C62" s="51" t="s">
        <v>143</v>
      </c>
      <c r="D62" s="51"/>
      <c r="H62" s="118">
        <f>COUNTIF(E48:E54,"*S*")</f>
        <v>0</v>
      </c>
      <c r="K62" s="121"/>
      <c r="L62" s="121"/>
      <c r="N62" s="122"/>
      <c r="O62" s="123"/>
      <c r="P62" s="123"/>
      <c r="Q62" s="124"/>
      <c r="R62" s="158"/>
      <c r="S62" s="120"/>
    </row>
    <row r="63" spans="1:19" x14ac:dyDescent="0.3">
      <c r="A63" s="117"/>
      <c r="C63" s="51" t="s">
        <v>144</v>
      </c>
      <c r="D63" s="51"/>
      <c r="H63" s="118">
        <f>COUNTIF(E48:E54,"*K*")</f>
        <v>0</v>
      </c>
      <c r="K63" s="121"/>
      <c r="L63" s="121"/>
      <c r="N63" s="122"/>
      <c r="O63" s="123"/>
      <c r="P63" s="123"/>
      <c r="Q63" s="124"/>
      <c r="R63" s="158"/>
      <c r="S63" s="120"/>
    </row>
    <row r="64" spans="1:19" ht="15" thickBot="1" x14ac:dyDescent="0.35">
      <c r="A64" s="117"/>
      <c r="C64" s="51" t="s">
        <v>145</v>
      </c>
      <c r="D64" s="51"/>
      <c r="H64" s="118">
        <f>COUNTIF(E48:E54,"*Z*")</f>
        <v>1</v>
      </c>
      <c r="K64" s="121"/>
      <c r="L64" s="121"/>
      <c r="N64" s="122"/>
      <c r="O64" s="123"/>
      <c r="P64" s="123"/>
      <c r="Q64" s="124"/>
      <c r="R64" s="158"/>
      <c r="S64" s="120"/>
    </row>
    <row r="65" spans="1:21" s="113" customFormat="1" ht="16.2" thickBot="1" x14ac:dyDescent="0.35">
      <c r="A65" s="125" t="s">
        <v>106</v>
      </c>
      <c r="G65" s="119"/>
      <c r="H65" s="114"/>
      <c r="K65" s="127"/>
      <c r="L65" s="127"/>
      <c r="N65" s="128"/>
      <c r="O65" s="129"/>
      <c r="P65" s="129"/>
      <c r="Q65" s="130"/>
      <c r="R65" s="160"/>
      <c r="S65" s="126"/>
    </row>
    <row r="66" spans="1:21" ht="28.8" x14ac:dyDescent="0.3">
      <c r="A66" s="117">
        <v>45431</v>
      </c>
      <c r="B66" s="284" t="s">
        <v>305</v>
      </c>
      <c r="C66" s="118" t="s">
        <v>303</v>
      </c>
      <c r="D66" s="118" t="s">
        <v>304</v>
      </c>
      <c r="E66" s="118" t="s">
        <v>307</v>
      </c>
      <c r="F66" s="118" t="s">
        <v>271</v>
      </c>
      <c r="G66" s="119">
        <v>63</v>
      </c>
      <c r="H66" s="119">
        <v>47</v>
      </c>
      <c r="I66" s="118" t="s">
        <v>272</v>
      </c>
      <c r="J66" s="118" t="s">
        <v>273</v>
      </c>
      <c r="K66" s="121">
        <v>4.8</v>
      </c>
      <c r="L66" s="121">
        <v>2.2000000000000002</v>
      </c>
      <c r="M66" s="118" t="s">
        <v>208</v>
      </c>
      <c r="N66" s="122">
        <v>24</v>
      </c>
      <c r="O66" s="123">
        <v>1.3</v>
      </c>
      <c r="P66" s="123">
        <v>0</v>
      </c>
      <c r="Q66" s="124">
        <v>0</v>
      </c>
      <c r="R66" s="158">
        <v>74</v>
      </c>
      <c r="S66" s="120">
        <v>2.1</v>
      </c>
      <c r="T66" s="118" t="s">
        <v>266</v>
      </c>
      <c r="U66" s="118" t="s">
        <v>306</v>
      </c>
    </row>
    <row r="67" spans="1:21" ht="72" x14ac:dyDescent="0.3">
      <c r="A67" s="117">
        <v>45432</v>
      </c>
      <c r="B67" s="284" t="s">
        <v>308</v>
      </c>
      <c r="C67" s="118" t="s">
        <v>303</v>
      </c>
      <c r="D67" s="118" t="s">
        <v>304</v>
      </c>
      <c r="E67" s="118" t="s">
        <v>307</v>
      </c>
      <c r="F67" s="118" t="s">
        <v>271</v>
      </c>
      <c r="G67" s="119">
        <v>63</v>
      </c>
      <c r="H67" s="119">
        <v>50</v>
      </c>
      <c r="I67" s="118" t="s">
        <v>272</v>
      </c>
      <c r="J67" s="118" t="s">
        <v>273</v>
      </c>
      <c r="K67" s="121">
        <v>7.8</v>
      </c>
      <c r="L67" s="121">
        <v>1.2</v>
      </c>
      <c r="M67" s="118" t="s">
        <v>325</v>
      </c>
      <c r="N67" s="122">
        <v>54</v>
      </c>
      <c r="O67" s="123">
        <v>5.3</v>
      </c>
      <c r="P67" s="123">
        <v>0</v>
      </c>
      <c r="Q67" s="124">
        <v>0</v>
      </c>
      <c r="R67" s="158">
        <v>195</v>
      </c>
      <c r="S67" s="120">
        <v>1.5</v>
      </c>
      <c r="T67" s="118" t="s">
        <v>266</v>
      </c>
      <c r="U67" s="118" t="s">
        <v>309</v>
      </c>
    </row>
    <row r="68" spans="1:21" ht="72" x14ac:dyDescent="0.3">
      <c r="A68" s="117">
        <v>45443</v>
      </c>
      <c r="B68" s="284" t="s">
        <v>317</v>
      </c>
      <c r="C68" s="118" t="s">
        <v>303</v>
      </c>
      <c r="D68" s="118" t="s">
        <v>304</v>
      </c>
      <c r="E68" s="118" t="s">
        <v>312</v>
      </c>
      <c r="F68" s="118" t="s">
        <v>320</v>
      </c>
      <c r="G68" s="119">
        <v>61</v>
      </c>
      <c r="H68" s="119">
        <v>0</v>
      </c>
      <c r="I68" s="118" t="s">
        <v>319</v>
      </c>
      <c r="J68" s="118" t="s">
        <v>210</v>
      </c>
      <c r="K68" s="121">
        <v>8.5</v>
      </c>
      <c r="L68" s="121">
        <v>4</v>
      </c>
      <c r="M68" s="118" t="s">
        <v>208</v>
      </c>
      <c r="N68" s="122">
        <v>0</v>
      </c>
      <c r="O68" s="123">
        <v>0</v>
      </c>
      <c r="P68" s="123">
        <v>0</v>
      </c>
      <c r="Q68" s="124">
        <v>0</v>
      </c>
      <c r="R68" s="158">
        <v>5</v>
      </c>
      <c r="S68" s="120">
        <v>9.8000000000000007</v>
      </c>
      <c r="T68" s="118" t="s">
        <v>266</v>
      </c>
      <c r="U68" s="118" t="s">
        <v>318</v>
      </c>
    </row>
    <row r="69" spans="1:21" ht="28.8" x14ac:dyDescent="0.3">
      <c r="A69" s="117">
        <v>45443</v>
      </c>
      <c r="B69" s="284" t="s">
        <v>321</v>
      </c>
      <c r="C69" s="118" t="s">
        <v>303</v>
      </c>
      <c r="D69" s="118" t="s">
        <v>304</v>
      </c>
      <c r="E69" s="118" t="s">
        <v>289</v>
      </c>
      <c r="F69" s="118" t="s">
        <v>320</v>
      </c>
      <c r="G69" s="119">
        <v>60</v>
      </c>
      <c r="H69" s="119">
        <v>0</v>
      </c>
      <c r="I69" s="118" t="s">
        <v>319</v>
      </c>
      <c r="J69" s="118" t="s">
        <v>210</v>
      </c>
      <c r="K69" s="121">
        <v>8.1999999999999993</v>
      </c>
      <c r="L69" s="121">
        <v>3.9</v>
      </c>
      <c r="M69" s="118" t="s">
        <v>208</v>
      </c>
      <c r="N69" s="122">
        <v>0</v>
      </c>
      <c r="O69" s="123">
        <v>0</v>
      </c>
      <c r="P69" s="123">
        <v>0</v>
      </c>
      <c r="Q69" s="124">
        <v>0</v>
      </c>
      <c r="R69" s="158">
        <v>2</v>
      </c>
      <c r="S69" s="120">
        <v>11</v>
      </c>
      <c r="T69" s="118" t="s">
        <v>266</v>
      </c>
    </row>
    <row r="70" spans="1:21" x14ac:dyDescent="0.3">
      <c r="A70" s="117"/>
      <c r="B70" s="284"/>
      <c r="H70" s="119"/>
      <c r="K70" s="121"/>
      <c r="L70" s="121"/>
      <c r="N70" s="122"/>
      <c r="O70" s="123"/>
      <c r="P70" s="123"/>
      <c r="Q70" s="124"/>
      <c r="R70" s="158"/>
      <c r="S70" s="120"/>
    </row>
    <row r="71" spans="1:21" x14ac:dyDescent="0.3">
      <c r="A71" s="117"/>
      <c r="B71" s="284"/>
      <c r="H71" s="119"/>
      <c r="K71" s="121"/>
      <c r="L71" s="121"/>
      <c r="N71" s="122"/>
      <c r="O71" s="123"/>
      <c r="P71" s="123"/>
      <c r="Q71" s="124"/>
      <c r="R71" s="158"/>
      <c r="S71" s="120"/>
    </row>
    <row r="72" spans="1:21" x14ac:dyDescent="0.3">
      <c r="A72" s="117"/>
      <c r="B72" s="284"/>
      <c r="H72" s="119"/>
      <c r="K72" s="121"/>
      <c r="L72" s="121"/>
      <c r="N72" s="122"/>
      <c r="O72" s="123"/>
      <c r="P72" s="123"/>
      <c r="Q72" s="124"/>
      <c r="R72" s="158"/>
      <c r="S72" s="120"/>
    </row>
    <row r="73" spans="1:21" x14ac:dyDescent="0.3">
      <c r="A73" s="117"/>
      <c r="H73" s="119"/>
      <c r="K73" s="121"/>
      <c r="L73" s="121"/>
      <c r="N73" s="122"/>
      <c r="O73" s="123"/>
      <c r="P73" s="123"/>
      <c r="Q73" s="124"/>
      <c r="R73" s="158"/>
      <c r="S73" s="120"/>
    </row>
    <row r="74" spans="1:21" x14ac:dyDescent="0.3">
      <c r="A74" s="117"/>
      <c r="H74" s="119"/>
      <c r="K74" s="121"/>
      <c r="L74" s="121"/>
      <c r="N74" s="122"/>
      <c r="O74" s="123"/>
      <c r="P74" s="123"/>
      <c r="Q74" s="124"/>
      <c r="R74" s="158"/>
      <c r="S74" s="120"/>
    </row>
    <row r="75" spans="1:21" x14ac:dyDescent="0.3">
      <c r="A75" s="117"/>
      <c r="C75" s="51" t="s">
        <v>137</v>
      </c>
      <c r="D75" s="51"/>
      <c r="H75" s="118">
        <f>COUNTIF(T66:T74,"*áno*")</f>
        <v>4</v>
      </c>
      <c r="K75" s="121"/>
      <c r="L75" s="121"/>
      <c r="N75" s="122"/>
      <c r="O75" s="123"/>
      <c r="P75" s="123"/>
      <c r="Q75" s="124"/>
      <c r="R75" s="158"/>
      <c r="S75" s="120"/>
    </row>
    <row r="76" spans="1:21" x14ac:dyDescent="0.3">
      <c r="A76" s="117"/>
      <c r="C76" s="51" t="s">
        <v>138</v>
      </c>
      <c r="D76" s="51"/>
      <c r="H76" s="118">
        <f>COUNTIF(E66:E74,"*w*")</f>
        <v>3</v>
      </c>
      <c r="K76" s="121"/>
      <c r="L76" s="121"/>
      <c r="N76" s="122"/>
      <c r="O76" s="123"/>
      <c r="P76" s="123"/>
      <c r="Q76" s="124"/>
      <c r="R76" s="158"/>
      <c r="S76" s="120"/>
    </row>
    <row r="77" spans="1:21" x14ac:dyDescent="0.3">
      <c r="A77" s="117"/>
      <c r="C77" s="51" t="s">
        <v>139</v>
      </c>
      <c r="D77" s="51"/>
      <c r="H77" s="118">
        <f>COUNTIF(E66:E74,"*P*")</f>
        <v>2</v>
      </c>
      <c r="K77" s="121"/>
      <c r="L77" s="121"/>
      <c r="N77" s="122"/>
      <c r="O77" s="123"/>
      <c r="P77" s="123"/>
      <c r="Q77" s="124"/>
      <c r="R77" s="158"/>
      <c r="S77" s="120"/>
    </row>
    <row r="78" spans="1:21" x14ac:dyDescent="0.3">
      <c r="A78" s="117"/>
      <c r="C78" s="51" t="s">
        <v>140</v>
      </c>
      <c r="D78" s="51"/>
      <c r="H78" s="118">
        <f>COUNTIF(E66:E74,"*L*")</f>
        <v>0</v>
      </c>
      <c r="K78" s="121"/>
      <c r="L78" s="121"/>
      <c r="N78" s="122"/>
      <c r="O78" s="123"/>
      <c r="P78" s="123"/>
      <c r="Q78" s="124"/>
      <c r="R78" s="158"/>
      <c r="S78" s="120"/>
    </row>
    <row r="79" spans="1:21" x14ac:dyDescent="0.3">
      <c r="A79" s="117"/>
      <c r="C79" s="51" t="s">
        <v>141</v>
      </c>
      <c r="D79" s="51"/>
      <c r="H79" s="118">
        <f>COUNTIF(E66:E74,"*V*")</f>
        <v>2</v>
      </c>
      <c r="K79" s="121"/>
      <c r="L79" s="121"/>
      <c r="N79" s="122"/>
      <c r="O79" s="123"/>
      <c r="P79" s="123"/>
      <c r="Q79" s="124"/>
      <c r="R79" s="158"/>
      <c r="S79" s="120"/>
    </row>
    <row r="80" spans="1:21" x14ac:dyDescent="0.3">
      <c r="A80" s="117"/>
      <c r="C80" s="51"/>
      <c r="D80" s="51"/>
      <c r="K80" s="121"/>
      <c r="L80" s="121"/>
      <c r="N80" s="122"/>
      <c r="O80" s="123"/>
      <c r="P80" s="123"/>
      <c r="Q80" s="124"/>
      <c r="R80" s="158"/>
      <c r="S80" s="120"/>
    </row>
    <row r="81" spans="1:21" x14ac:dyDescent="0.3">
      <c r="A81" s="117"/>
      <c r="C81" s="51" t="s">
        <v>142</v>
      </c>
      <c r="D81" s="51"/>
      <c r="H81" s="118">
        <f>COUNTIF(E66:E74,"*D*")</f>
        <v>2</v>
      </c>
      <c r="K81" s="121"/>
      <c r="L81" s="121"/>
      <c r="N81" s="122"/>
      <c r="O81" s="123"/>
      <c r="P81" s="123"/>
      <c r="Q81" s="124"/>
      <c r="R81" s="158"/>
      <c r="S81" s="120"/>
    </row>
    <row r="82" spans="1:21" x14ac:dyDescent="0.3">
      <c r="A82" s="117"/>
      <c r="C82" s="51" t="s">
        <v>143</v>
      </c>
      <c r="D82" s="51"/>
      <c r="H82" s="118">
        <f>COUNTIF(E66:E74,"*S*")</f>
        <v>0</v>
      </c>
      <c r="K82" s="121"/>
      <c r="L82" s="121"/>
      <c r="N82" s="122"/>
      <c r="O82" s="123"/>
      <c r="P82" s="123"/>
      <c r="Q82" s="124"/>
      <c r="R82" s="158"/>
      <c r="S82" s="120"/>
    </row>
    <row r="83" spans="1:21" x14ac:dyDescent="0.3">
      <c r="A83" s="117"/>
      <c r="C83" s="51" t="s">
        <v>144</v>
      </c>
      <c r="D83" s="51"/>
      <c r="H83" s="118">
        <f>COUNTIF(E66:E74,"*K*")</f>
        <v>0</v>
      </c>
      <c r="K83" s="121"/>
      <c r="L83" s="121"/>
      <c r="N83" s="122"/>
      <c r="O83" s="123"/>
      <c r="P83" s="123"/>
      <c r="Q83" s="124"/>
      <c r="R83" s="158"/>
      <c r="S83" s="120"/>
    </row>
    <row r="84" spans="1:21" s="133" customFormat="1" ht="15" thickBot="1" x14ac:dyDescent="0.35">
      <c r="A84" s="132"/>
      <c r="C84" s="144" t="s">
        <v>145</v>
      </c>
      <c r="D84" s="144"/>
      <c r="G84" s="134"/>
      <c r="H84" s="133">
        <f>COUNTIF(E66:E74,"*Z*")</f>
        <v>2</v>
      </c>
      <c r="K84" s="136"/>
      <c r="L84" s="136"/>
      <c r="N84" s="137"/>
      <c r="O84" s="138"/>
      <c r="P84" s="138"/>
      <c r="Q84" s="139"/>
      <c r="R84" s="161"/>
      <c r="S84" s="135"/>
    </row>
    <row r="85" spans="1:21" s="113" customFormat="1" ht="16.2" thickBot="1" x14ac:dyDescent="0.35">
      <c r="A85" s="125" t="s">
        <v>110</v>
      </c>
      <c r="G85" s="149"/>
      <c r="H85" s="114"/>
      <c r="K85" s="127"/>
      <c r="L85" s="127"/>
      <c r="N85" s="128"/>
      <c r="O85" s="129"/>
      <c r="P85" s="129"/>
      <c r="Q85" s="130"/>
      <c r="R85" s="160"/>
      <c r="S85" s="126"/>
    </row>
    <row r="86" spans="1:21" s="347" customFormat="1" ht="100.8" x14ac:dyDescent="0.3">
      <c r="A86" s="345">
        <v>45444</v>
      </c>
      <c r="B86" s="346" t="s">
        <v>322</v>
      </c>
      <c r="C86" s="347" t="s">
        <v>313</v>
      </c>
      <c r="D86" s="347" t="s">
        <v>304</v>
      </c>
      <c r="E86" s="347" t="s">
        <v>314</v>
      </c>
      <c r="F86" s="347" t="s">
        <v>315</v>
      </c>
      <c r="G86" s="348">
        <v>70</v>
      </c>
      <c r="H86" s="349">
        <v>32</v>
      </c>
      <c r="I86" s="347" t="s">
        <v>316</v>
      </c>
      <c r="J86" s="347" t="s">
        <v>208</v>
      </c>
      <c r="K86" s="350">
        <v>7.5</v>
      </c>
      <c r="L86" s="350">
        <v>3.6</v>
      </c>
      <c r="M86" s="347" t="s">
        <v>208</v>
      </c>
      <c r="N86" s="351">
        <v>0</v>
      </c>
      <c r="O86" s="352">
        <v>0</v>
      </c>
      <c r="P86" s="352">
        <v>0</v>
      </c>
      <c r="Q86" s="353">
        <v>0</v>
      </c>
      <c r="R86" s="354">
        <v>19</v>
      </c>
      <c r="S86" s="355">
        <v>7.6</v>
      </c>
      <c r="T86" s="347" t="s">
        <v>266</v>
      </c>
      <c r="U86" s="347" t="s">
        <v>323</v>
      </c>
    </row>
    <row r="87" spans="1:21" s="133" customFormat="1" ht="28.8" x14ac:dyDescent="0.3">
      <c r="A87" s="132">
        <v>45447</v>
      </c>
      <c r="B87" s="141" t="s">
        <v>372</v>
      </c>
      <c r="C87" s="133" t="s">
        <v>369</v>
      </c>
      <c r="D87" s="133" t="s">
        <v>304</v>
      </c>
      <c r="E87" s="133" t="s">
        <v>371</v>
      </c>
      <c r="F87" s="133" t="s">
        <v>271</v>
      </c>
      <c r="G87" s="119"/>
      <c r="H87" s="134"/>
      <c r="I87" s="133" t="s">
        <v>316</v>
      </c>
      <c r="J87" s="133" t="s">
        <v>368</v>
      </c>
      <c r="K87" s="136">
        <v>2.7</v>
      </c>
      <c r="L87" s="136">
        <v>0.7</v>
      </c>
      <c r="M87" s="133" t="s">
        <v>325</v>
      </c>
      <c r="N87" s="137">
        <v>30</v>
      </c>
      <c r="O87" s="138">
        <v>4.0999999999999996</v>
      </c>
      <c r="P87" s="138">
        <v>0</v>
      </c>
      <c r="Q87" s="139">
        <v>0</v>
      </c>
      <c r="R87" s="161">
        <v>99</v>
      </c>
      <c r="S87" s="135">
        <v>2.2000000000000002</v>
      </c>
      <c r="T87" s="133" t="s">
        <v>266</v>
      </c>
      <c r="U87" s="133" t="s">
        <v>370</v>
      </c>
    </row>
    <row r="88" spans="1:21" s="133" customFormat="1" ht="43.2" x14ac:dyDescent="0.3">
      <c r="A88" s="132">
        <v>45450</v>
      </c>
      <c r="B88" s="141" t="s">
        <v>332</v>
      </c>
      <c r="C88" s="133" t="s">
        <v>287</v>
      </c>
      <c r="D88" s="133" t="s">
        <v>269</v>
      </c>
      <c r="E88" s="133" t="s">
        <v>307</v>
      </c>
      <c r="F88" s="133" t="s">
        <v>333</v>
      </c>
      <c r="G88" s="119">
        <v>57</v>
      </c>
      <c r="H88" s="134">
        <v>40</v>
      </c>
      <c r="I88" s="133" t="s">
        <v>349</v>
      </c>
      <c r="J88" s="133" t="s">
        <v>273</v>
      </c>
      <c r="K88" s="136">
        <v>2.7</v>
      </c>
      <c r="L88" s="136">
        <v>0.7</v>
      </c>
      <c r="M88" s="133" t="s">
        <v>209</v>
      </c>
      <c r="N88" s="137">
        <v>66</v>
      </c>
      <c r="O88" s="138">
        <v>4.5999999999999996</v>
      </c>
      <c r="P88" s="138">
        <v>0</v>
      </c>
      <c r="Q88" s="139">
        <v>0</v>
      </c>
      <c r="R88" s="161">
        <v>308</v>
      </c>
      <c r="S88" s="135">
        <v>0</v>
      </c>
      <c r="T88" s="133" t="s">
        <v>266</v>
      </c>
      <c r="U88" s="133" t="s">
        <v>334</v>
      </c>
    </row>
    <row r="89" spans="1:21" s="133" customFormat="1" ht="43.2" x14ac:dyDescent="0.3">
      <c r="A89" s="132">
        <v>45452</v>
      </c>
      <c r="B89" s="141" t="s">
        <v>335</v>
      </c>
      <c r="C89" s="133" t="s">
        <v>287</v>
      </c>
      <c r="D89" s="133" t="s">
        <v>269</v>
      </c>
      <c r="E89" s="133" t="s">
        <v>288</v>
      </c>
      <c r="F89" s="133" t="s">
        <v>333</v>
      </c>
      <c r="G89" s="119">
        <v>54</v>
      </c>
      <c r="H89" s="134">
        <v>50</v>
      </c>
      <c r="I89" s="133" t="s">
        <v>349</v>
      </c>
      <c r="J89" s="133" t="s">
        <v>289</v>
      </c>
      <c r="K89" s="136">
        <v>3.7</v>
      </c>
      <c r="L89" s="136">
        <v>1.3</v>
      </c>
      <c r="M89" s="133" t="s">
        <v>209</v>
      </c>
      <c r="N89" s="137">
        <v>11.9</v>
      </c>
      <c r="O89" s="138">
        <v>17.600000000000001</v>
      </c>
      <c r="P89" s="138">
        <v>0</v>
      </c>
      <c r="Q89" s="139">
        <v>0</v>
      </c>
      <c r="R89" s="161">
        <v>72</v>
      </c>
      <c r="S89" s="135">
        <v>3.9</v>
      </c>
      <c r="T89" s="133" t="s">
        <v>266</v>
      </c>
      <c r="U89" s="133" t="s">
        <v>336</v>
      </c>
    </row>
    <row r="90" spans="1:21" s="133" customFormat="1" ht="28.8" x14ac:dyDescent="0.3">
      <c r="A90" s="132">
        <v>45465</v>
      </c>
      <c r="B90" s="141" t="s">
        <v>343</v>
      </c>
      <c r="C90" s="133" t="s">
        <v>268</v>
      </c>
      <c r="D90" s="133" t="s">
        <v>269</v>
      </c>
      <c r="E90" s="133" t="s">
        <v>345</v>
      </c>
      <c r="F90" s="133" t="s">
        <v>271</v>
      </c>
      <c r="G90" s="119">
        <v>57</v>
      </c>
      <c r="H90" s="134">
        <v>35</v>
      </c>
      <c r="I90" s="133" t="s">
        <v>272</v>
      </c>
      <c r="J90" s="133" t="s">
        <v>208</v>
      </c>
      <c r="K90" s="136">
        <v>4.0999999999999996</v>
      </c>
      <c r="L90" s="136">
        <v>1.5</v>
      </c>
      <c r="M90" s="133" t="s">
        <v>210</v>
      </c>
      <c r="N90" s="137">
        <v>0</v>
      </c>
      <c r="O90" s="138">
        <v>0</v>
      </c>
      <c r="P90" s="138">
        <v>0</v>
      </c>
      <c r="Q90" s="139">
        <v>0</v>
      </c>
      <c r="R90" s="161">
        <v>8</v>
      </c>
      <c r="S90" s="135">
        <v>5</v>
      </c>
      <c r="T90" s="133" t="s">
        <v>266</v>
      </c>
      <c r="U90" s="133" t="s">
        <v>347</v>
      </c>
    </row>
    <row r="91" spans="1:21" s="133" customFormat="1" ht="43.2" x14ac:dyDescent="0.3">
      <c r="A91" s="132">
        <v>45465</v>
      </c>
      <c r="B91" s="141" t="s">
        <v>346</v>
      </c>
      <c r="C91" s="133" t="s">
        <v>268</v>
      </c>
      <c r="D91" s="133" t="s">
        <v>269</v>
      </c>
      <c r="E91" s="133" t="s">
        <v>344</v>
      </c>
      <c r="F91" s="133" t="s">
        <v>271</v>
      </c>
      <c r="G91" s="119">
        <v>66</v>
      </c>
      <c r="H91" s="134">
        <v>48</v>
      </c>
      <c r="I91" s="133" t="s">
        <v>272</v>
      </c>
      <c r="J91" s="133" t="s">
        <v>208</v>
      </c>
      <c r="K91" s="136">
        <v>2.4</v>
      </c>
      <c r="L91" s="136">
        <v>1.1000000000000001</v>
      </c>
      <c r="M91" s="133" t="s">
        <v>210</v>
      </c>
      <c r="N91" s="137">
        <v>48</v>
      </c>
      <c r="O91" s="138">
        <v>1.9</v>
      </c>
      <c r="P91" s="138">
        <v>0</v>
      </c>
      <c r="Q91" s="139">
        <v>0</v>
      </c>
      <c r="R91" s="161">
        <v>13</v>
      </c>
      <c r="S91" s="135">
        <v>2.6</v>
      </c>
      <c r="T91" s="133" t="s">
        <v>266</v>
      </c>
      <c r="U91" s="133" t="s">
        <v>348</v>
      </c>
    </row>
    <row r="92" spans="1:21" s="133" customFormat="1" ht="100.8" x14ac:dyDescent="0.3">
      <c r="A92" s="132">
        <v>45465</v>
      </c>
      <c r="B92" s="133" t="s">
        <v>351</v>
      </c>
      <c r="C92" s="133" t="s">
        <v>268</v>
      </c>
      <c r="D92" s="133" t="s">
        <v>352</v>
      </c>
      <c r="E92" s="133" t="s">
        <v>344</v>
      </c>
      <c r="F92" s="133" t="s">
        <v>271</v>
      </c>
      <c r="G92" s="119">
        <v>62</v>
      </c>
      <c r="H92" s="134">
        <v>60</v>
      </c>
      <c r="I92" s="133" t="s">
        <v>272</v>
      </c>
      <c r="J92" s="133" t="s">
        <v>273</v>
      </c>
      <c r="K92" s="136">
        <v>6.5</v>
      </c>
      <c r="L92" s="136">
        <v>1.2</v>
      </c>
      <c r="M92" s="133" t="s">
        <v>210</v>
      </c>
      <c r="N92" s="137">
        <v>84</v>
      </c>
      <c r="O92" s="138">
        <v>7.9</v>
      </c>
      <c r="P92" s="138">
        <v>0</v>
      </c>
      <c r="Q92" s="139">
        <v>0</v>
      </c>
      <c r="R92" s="161">
        <v>51</v>
      </c>
      <c r="S92" s="135">
        <v>1.1000000000000001</v>
      </c>
      <c r="T92" s="133" t="s">
        <v>266</v>
      </c>
      <c r="U92" s="133" t="s">
        <v>353</v>
      </c>
    </row>
    <row r="93" spans="1:21" s="133" customFormat="1" ht="43.2" x14ac:dyDescent="0.3">
      <c r="A93" s="132">
        <v>45470</v>
      </c>
      <c r="B93" s="141" t="s">
        <v>356</v>
      </c>
      <c r="C93" s="133" t="s">
        <v>330</v>
      </c>
      <c r="D93" s="133" t="s">
        <v>304</v>
      </c>
      <c r="E93" s="133" t="s">
        <v>307</v>
      </c>
      <c r="F93" s="133" t="s">
        <v>271</v>
      </c>
      <c r="G93" s="119">
        <v>64</v>
      </c>
      <c r="H93" s="134">
        <v>47</v>
      </c>
      <c r="I93" s="133" t="s">
        <v>355</v>
      </c>
      <c r="J93" s="133" t="s">
        <v>273</v>
      </c>
      <c r="K93" s="136">
        <v>10.199999999999999</v>
      </c>
      <c r="L93" s="136">
        <v>4.0999999999999996</v>
      </c>
      <c r="M93" s="133" t="s">
        <v>289</v>
      </c>
      <c r="N93" s="137">
        <v>36</v>
      </c>
      <c r="O93" s="138">
        <v>2.2999999999999998</v>
      </c>
      <c r="P93" s="138">
        <v>0</v>
      </c>
      <c r="Q93" s="139">
        <v>0</v>
      </c>
      <c r="R93" s="161">
        <v>35</v>
      </c>
      <c r="S93" s="135">
        <v>1.8</v>
      </c>
      <c r="T93" s="133" t="s">
        <v>266</v>
      </c>
      <c r="U93" s="133" t="s">
        <v>354</v>
      </c>
    </row>
    <row r="94" spans="1:21" s="133" customFormat="1" ht="28.8" x14ac:dyDescent="0.3">
      <c r="A94" s="132">
        <v>45471</v>
      </c>
      <c r="B94" s="141" t="s">
        <v>359</v>
      </c>
      <c r="C94" s="133" t="s">
        <v>330</v>
      </c>
      <c r="D94" s="133" t="s">
        <v>304</v>
      </c>
      <c r="E94" s="133" t="s">
        <v>312</v>
      </c>
      <c r="F94" s="133" t="s">
        <v>320</v>
      </c>
      <c r="G94" s="119">
        <v>60</v>
      </c>
      <c r="H94" s="134">
        <v>6</v>
      </c>
      <c r="I94" s="133" t="s">
        <v>358</v>
      </c>
      <c r="J94" s="133" t="s">
        <v>208</v>
      </c>
      <c r="K94" s="136">
        <v>7.1</v>
      </c>
      <c r="L94" s="136">
        <v>2.2999999999999998</v>
      </c>
      <c r="M94" s="133" t="s">
        <v>208</v>
      </c>
      <c r="N94" s="137">
        <v>0</v>
      </c>
      <c r="O94" s="138">
        <v>0</v>
      </c>
      <c r="P94" s="138">
        <v>0</v>
      </c>
      <c r="Q94" s="139">
        <v>0</v>
      </c>
      <c r="R94" s="161">
        <v>18</v>
      </c>
      <c r="S94" s="135">
        <v>4.9000000000000004</v>
      </c>
      <c r="T94" s="133" t="s">
        <v>266</v>
      </c>
      <c r="U94" s="133" t="s">
        <v>357</v>
      </c>
    </row>
    <row r="95" spans="1:21" s="133" customFormat="1" x14ac:dyDescent="0.3">
      <c r="A95" s="132"/>
      <c r="B95" s="141"/>
      <c r="G95" s="119"/>
      <c r="H95" s="134"/>
      <c r="K95" s="136"/>
      <c r="L95" s="136"/>
      <c r="N95" s="137"/>
      <c r="O95" s="138"/>
      <c r="P95" s="138"/>
      <c r="Q95" s="139"/>
      <c r="R95" s="161"/>
      <c r="S95" s="135"/>
    </row>
    <row r="96" spans="1:21" s="133" customFormat="1" x14ac:dyDescent="0.3">
      <c r="A96" s="132"/>
      <c r="B96" s="141"/>
      <c r="G96" s="119"/>
      <c r="H96" s="134"/>
      <c r="K96" s="136"/>
      <c r="L96" s="136"/>
      <c r="N96" s="137"/>
      <c r="O96" s="138"/>
      <c r="P96" s="138"/>
      <c r="Q96" s="139"/>
      <c r="R96" s="161"/>
      <c r="S96" s="135"/>
    </row>
    <row r="97" spans="1:19" s="133" customFormat="1" x14ac:dyDescent="0.3">
      <c r="A97" s="132"/>
      <c r="B97" s="141"/>
      <c r="G97" s="119"/>
      <c r="H97" s="134"/>
      <c r="K97" s="136"/>
      <c r="L97" s="136"/>
      <c r="N97" s="137"/>
      <c r="O97" s="138"/>
      <c r="P97" s="138"/>
      <c r="Q97" s="139"/>
      <c r="R97" s="161"/>
      <c r="S97" s="135"/>
    </row>
    <row r="98" spans="1:19" s="133" customFormat="1" x14ac:dyDescent="0.3">
      <c r="A98" s="132"/>
      <c r="B98" s="141"/>
      <c r="G98" s="119"/>
      <c r="H98" s="134"/>
      <c r="K98" s="136"/>
      <c r="L98" s="136"/>
      <c r="N98" s="137"/>
      <c r="O98" s="138"/>
      <c r="P98" s="138"/>
      <c r="Q98" s="139"/>
      <c r="R98" s="161"/>
      <c r="S98" s="135"/>
    </row>
    <row r="99" spans="1:19" s="133" customFormat="1" x14ac:dyDescent="0.3">
      <c r="A99" s="132"/>
      <c r="B99" s="141"/>
      <c r="G99" s="119"/>
      <c r="H99" s="134"/>
      <c r="K99" s="136"/>
      <c r="L99" s="136"/>
      <c r="N99" s="137"/>
      <c r="O99" s="138"/>
      <c r="P99" s="138"/>
      <c r="Q99" s="139"/>
      <c r="R99" s="161"/>
      <c r="S99" s="135"/>
    </row>
    <row r="100" spans="1:19" s="133" customFormat="1" x14ac:dyDescent="0.3">
      <c r="A100" s="132"/>
      <c r="B100" s="141"/>
      <c r="G100" s="119"/>
      <c r="H100" s="134"/>
      <c r="K100" s="136"/>
      <c r="L100" s="136"/>
      <c r="N100" s="137"/>
      <c r="O100" s="138"/>
      <c r="P100" s="138"/>
      <c r="Q100" s="139"/>
      <c r="R100" s="161"/>
      <c r="S100" s="135"/>
    </row>
    <row r="101" spans="1:19" s="133" customFormat="1" x14ac:dyDescent="0.3">
      <c r="A101" s="132"/>
      <c r="B101" s="141"/>
      <c r="G101" s="119"/>
      <c r="H101" s="134"/>
      <c r="K101" s="136"/>
      <c r="L101" s="136"/>
      <c r="N101" s="137"/>
      <c r="O101" s="138"/>
      <c r="P101" s="138"/>
      <c r="Q101" s="139"/>
      <c r="R101" s="161"/>
      <c r="S101" s="135"/>
    </row>
    <row r="102" spans="1:19" s="133" customFormat="1" x14ac:dyDescent="0.3">
      <c r="A102" s="132"/>
      <c r="B102" s="141"/>
      <c r="G102" s="119"/>
      <c r="H102" s="134"/>
      <c r="K102" s="136"/>
      <c r="L102" s="136"/>
      <c r="N102" s="137"/>
      <c r="O102" s="138"/>
      <c r="P102" s="138"/>
      <c r="Q102" s="139"/>
      <c r="R102" s="161"/>
      <c r="S102" s="135"/>
    </row>
    <row r="103" spans="1:19" s="133" customFormat="1" x14ac:dyDescent="0.3">
      <c r="A103" s="132"/>
      <c r="B103" s="141"/>
      <c r="G103" s="119"/>
      <c r="H103" s="134"/>
      <c r="K103" s="136"/>
      <c r="L103" s="136"/>
      <c r="N103" s="137"/>
      <c r="O103" s="138"/>
      <c r="P103" s="138"/>
      <c r="Q103" s="139"/>
      <c r="R103" s="161"/>
      <c r="S103" s="135"/>
    </row>
    <row r="104" spans="1:19" s="133" customFormat="1" x14ac:dyDescent="0.3">
      <c r="A104" s="132"/>
      <c r="B104" s="141"/>
      <c r="G104" s="119"/>
      <c r="H104" s="134"/>
      <c r="K104" s="136"/>
      <c r="L104" s="136"/>
      <c r="N104" s="137"/>
      <c r="O104" s="138"/>
      <c r="P104" s="138"/>
      <c r="Q104" s="139"/>
      <c r="R104" s="161"/>
      <c r="S104" s="135"/>
    </row>
    <row r="105" spans="1:19" s="133" customFormat="1" x14ac:dyDescent="0.3">
      <c r="A105" s="132"/>
      <c r="C105" s="51" t="s">
        <v>137</v>
      </c>
      <c r="D105" s="51"/>
      <c r="E105" s="118"/>
      <c r="F105" s="118"/>
      <c r="G105" s="119"/>
      <c r="H105" s="118">
        <f>COUNTIF(T86:T104,"*áno*")</f>
        <v>9</v>
      </c>
      <c r="K105" s="136"/>
      <c r="L105" s="136"/>
      <c r="N105" s="137"/>
      <c r="O105" s="138"/>
      <c r="P105" s="138"/>
      <c r="Q105" s="139"/>
      <c r="R105" s="161"/>
      <c r="S105" s="135"/>
    </row>
    <row r="106" spans="1:19" s="133" customFormat="1" x14ac:dyDescent="0.3">
      <c r="A106" s="132"/>
      <c r="C106" s="51" t="s">
        <v>138</v>
      </c>
      <c r="D106" s="51"/>
      <c r="E106" s="118"/>
      <c r="F106" s="118"/>
      <c r="G106" s="119"/>
      <c r="H106" s="118">
        <f>COUNTIF(E86:E104,"*w*")</f>
        <v>7</v>
      </c>
      <c r="K106" s="136"/>
      <c r="L106" s="136"/>
      <c r="N106" s="137"/>
      <c r="O106" s="138"/>
      <c r="P106" s="138"/>
      <c r="Q106" s="139"/>
      <c r="R106" s="161"/>
      <c r="S106" s="135"/>
    </row>
    <row r="107" spans="1:19" s="133" customFormat="1" x14ac:dyDescent="0.3">
      <c r="A107" s="132"/>
      <c r="C107" s="51" t="s">
        <v>139</v>
      </c>
      <c r="D107" s="51"/>
      <c r="E107" s="118"/>
      <c r="F107" s="118"/>
      <c r="G107" s="119"/>
      <c r="H107" s="118">
        <f>COUNTIF(E86:E104,"*P*")</f>
        <v>5</v>
      </c>
      <c r="K107" s="136"/>
      <c r="L107" s="136"/>
      <c r="N107" s="137"/>
      <c r="O107" s="138"/>
      <c r="P107" s="138"/>
      <c r="Q107" s="139"/>
      <c r="R107" s="161"/>
      <c r="S107" s="135"/>
    </row>
    <row r="108" spans="1:19" s="133" customFormat="1" x14ac:dyDescent="0.3">
      <c r="A108" s="132"/>
      <c r="C108" s="51" t="s">
        <v>140</v>
      </c>
      <c r="D108" s="51"/>
      <c r="E108" s="118"/>
      <c r="F108" s="118"/>
      <c r="G108" s="119"/>
      <c r="H108" s="118">
        <f>COUNTIF(E86:E104,"*L*")</f>
        <v>2</v>
      </c>
      <c r="K108" s="136"/>
      <c r="L108" s="136"/>
      <c r="N108" s="137"/>
      <c r="O108" s="138"/>
      <c r="P108" s="138"/>
      <c r="Q108" s="139"/>
      <c r="R108" s="161"/>
      <c r="S108" s="135"/>
    </row>
    <row r="109" spans="1:19" s="133" customFormat="1" x14ac:dyDescent="0.3">
      <c r="A109" s="132"/>
      <c r="C109" s="51" t="s">
        <v>141</v>
      </c>
      <c r="D109" s="51"/>
      <c r="E109" s="118"/>
      <c r="F109" s="118"/>
      <c r="G109" s="119"/>
      <c r="H109" s="118">
        <f>COUNTIF(E86:E104,"*V*")</f>
        <v>2</v>
      </c>
      <c r="K109" s="136"/>
      <c r="L109" s="136"/>
      <c r="N109" s="137"/>
      <c r="O109" s="138"/>
      <c r="P109" s="138"/>
      <c r="Q109" s="139"/>
      <c r="R109" s="161"/>
      <c r="S109" s="135"/>
    </row>
    <row r="110" spans="1:19" s="133" customFormat="1" x14ac:dyDescent="0.3">
      <c r="A110" s="132"/>
      <c r="C110" s="51"/>
      <c r="D110" s="51"/>
      <c r="E110" s="118"/>
      <c r="F110" s="118"/>
      <c r="G110" s="119"/>
      <c r="H110" s="118"/>
      <c r="K110" s="136"/>
      <c r="L110" s="136"/>
      <c r="N110" s="137"/>
      <c r="O110" s="138"/>
      <c r="P110" s="138"/>
      <c r="Q110" s="139"/>
      <c r="R110" s="161"/>
      <c r="S110" s="135"/>
    </row>
    <row r="111" spans="1:19" s="133" customFormat="1" x14ac:dyDescent="0.3">
      <c r="A111" s="132"/>
      <c r="C111" s="51" t="s">
        <v>142</v>
      </c>
      <c r="D111" s="51"/>
      <c r="E111" s="118"/>
      <c r="F111" s="118"/>
      <c r="G111" s="119"/>
      <c r="H111" s="118">
        <f>COUNTIF(E86:E104,"*D*")</f>
        <v>8</v>
      </c>
      <c r="K111" s="136"/>
      <c r="L111" s="136"/>
      <c r="N111" s="137"/>
      <c r="O111" s="138"/>
      <c r="P111" s="138"/>
      <c r="Q111" s="139"/>
      <c r="R111" s="161"/>
      <c r="S111" s="135"/>
    </row>
    <row r="112" spans="1:19" s="133" customFormat="1" x14ac:dyDescent="0.3">
      <c r="A112" s="132"/>
      <c r="C112" s="51" t="s">
        <v>143</v>
      </c>
      <c r="D112" s="51"/>
      <c r="E112" s="118"/>
      <c r="F112" s="118"/>
      <c r="G112" s="119"/>
      <c r="H112" s="118">
        <f>COUNTIF(E86:E104,"*S*")</f>
        <v>0</v>
      </c>
      <c r="K112" s="136"/>
      <c r="L112" s="136"/>
      <c r="N112" s="137"/>
      <c r="O112" s="138"/>
      <c r="P112" s="138"/>
      <c r="Q112" s="139"/>
      <c r="R112" s="161"/>
      <c r="S112" s="135"/>
    </row>
    <row r="113" spans="1:21" s="133" customFormat="1" x14ac:dyDescent="0.3">
      <c r="A113" s="132"/>
      <c r="C113" s="51" t="s">
        <v>144</v>
      </c>
      <c r="D113" s="51"/>
      <c r="E113" s="118"/>
      <c r="F113" s="118"/>
      <c r="G113" s="119"/>
      <c r="H113" s="118">
        <f>COUNTIF(E86:E104,"*K*")</f>
        <v>0</v>
      </c>
      <c r="K113" s="136"/>
      <c r="L113" s="136"/>
      <c r="N113" s="137"/>
      <c r="O113" s="138"/>
      <c r="P113" s="138"/>
      <c r="Q113" s="139"/>
      <c r="R113" s="161"/>
      <c r="S113" s="135"/>
    </row>
    <row r="114" spans="1:21" s="133" customFormat="1" ht="15" thickBot="1" x14ac:dyDescent="0.35">
      <c r="A114" s="132"/>
      <c r="C114" s="144" t="s">
        <v>145</v>
      </c>
      <c r="D114" s="144"/>
      <c r="G114" s="134"/>
      <c r="H114" s="133">
        <f>COUNTIF(E86:E104,"*Z*")</f>
        <v>5</v>
      </c>
      <c r="K114" s="136"/>
      <c r="L114" s="136"/>
      <c r="N114" s="137"/>
      <c r="O114" s="138"/>
      <c r="P114" s="138"/>
      <c r="Q114" s="139"/>
      <c r="R114" s="161"/>
      <c r="S114" s="135"/>
    </row>
    <row r="115" spans="1:21" s="80" customFormat="1" ht="15" thickBot="1" x14ac:dyDescent="0.35">
      <c r="A115" s="148" t="s">
        <v>109</v>
      </c>
      <c r="G115" s="149"/>
      <c r="H115" s="149"/>
      <c r="K115" s="151"/>
      <c r="L115" s="151"/>
      <c r="N115" s="152"/>
      <c r="O115" s="153"/>
      <c r="P115" s="153"/>
      <c r="Q115" s="154"/>
      <c r="R115" s="162"/>
      <c r="S115" s="150"/>
    </row>
    <row r="116" spans="1:21" s="347" customFormat="1" ht="28.8" x14ac:dyDescent="0.3">
      <c r="A116" s="345">
        <v>45474</v>
      </c>
      <c r="B116" s="346" t="s">
        <v>361</v>
      </c>
      <c r="C116" s="347" t="s">
        <v>352</v>
      </c>
      <c r="D116" s="347" t="s">
        <v>362</v>
      </c>
      <c r="E116" s="347" t="s">
        <v>314</v>
      </c>
      <c r="F116" s="347" t="s">
        <v>333</v>
      </c>
      <c r="G116" s="348">
        <v>61</v>
      </c>
      <c r="H116" s="405">
        <v>12</v>
      </c>
      <c r="I116" s="347" t="s">
        <v>272</v>
      </c>
      <c r="J116" s="347" t="s">
        <v>325</v>
      </c>
      <c r="K116" s="350">
        <v>2.4</v>
      </c>
      <c r="L116" s="350">
        <v>1</v>
      </c>
      <c r="M116" s="347" t="s">
        <v>209</v>
      </c>
      <c r="N116" s="351">
        <v>0</v>
      </c>
      <c r="O116" s="352">
        <v>0</v>
      </c>
      <c r="P116" s="352">
        <v>0</v>
      </c>
      <c r="Q116" s="353">
        <v>0</v>
      </c>
      <c r="R116" s="354">
        <v>1</v>
      </c>
      <c r="S116" s="355">
        <v>8</v>
      </c>
      <c r="T116" s="347" t="s">
        <v>266</v>
      </c>
      <c r="U116" s="347" t="s">
        <v>363</v>
      </c>
    </row>
    <row r="117" spans="1:21" s="133" customFormat="1" ht="115.2" x14ac:dyDescent="0.3">
      <c r="A117" s="132">
        <v>45474</v>
      </c>
      <c r="B117" s="141" t="s">
        <v>364</v>
      </c>
      <c r="C117" s="133" t="s">
        <v>268</v>
      </c>
      <c r="D117" s="133" t="s">
        <v>269</v>
      </c>
      <c r="E117" s="133" t="s">
        <v>270</v>
      </c>
      <c r="F117" s="133" t="s">
        <v>315</v>
      </c>
      <c r="G117" s="119">
        <v>65</v>
      </c>
      <c r="H117" s="349">
        <v>63</v>
      </c>
      <c r="I117" s="133" t="s">
        <v>290</v>
      </c>
      <c r="J117" s="133" t="s">
        <v>273</v>
      </c>
      <c r="K117" s="136">
        <v>5.0999999999999996</v>
      </c>
      <c r="L117" s="136">
        <v>2.1</v>
      </c>
      <c r="M117" s="133" t="s">
        <v>209</v>
      </c>
      <c r="N117" s="137">
        <v>72</v>
      </c>
      <c r="O117" s="138">
        <v>16.399999999999999</v>
      </c>
      <c r="P117" s="138">
        <v>20</v>
      </c>
      <c r="Q117" s="139">
        <v>0</v>
      </c>
      <c r="R117" s="161">
        <v>244</v>
      </c>
      <c r="S117" s="135">
        <v>0.1</v>
      </c>
      <c r="T117" s="133" t="s">
        <v>266</v>
      </c>
      <c r="U117" s="133" t="s">
        <v>365</v>
      </c>
    </row>
    <row r="118" spans="1:21" s="133" customFormat="1" ht="28.8" x14ac:dyDescent="0.3">
      <c r="A118" s="132">
        <v>45486</v>
      </c>
      <c r="B118" s="141" t="s">
        <v>380</v>
      </c>
      <c r="C118" s="133" t="s">
        <v>287</v>
      </c>
      <c r="D118" s="133" t="s">
        <v>269</v>
      </c>
      <c r="E118" s="133" t="s">
        <v>270</v>
      </c>
      <c r="F118" s="133" t="s">
        <v>271</v>
      </c>
      <c r="G118" s="119">
        <v>65</v>
      </c>
      <c r="H118" s="134">
        <v>61</v>
      </c>
      <c r="I118" s="133" t="s">
        <v>272</v>
      </c>
      <c r="J118" s="133" t="s">
        <v>273</v>
      </c>
      <c r="K118" s="136">
        <v>10.199999999999999</v>
      </c>
      <c r="L118" s="136">
        <v>2.2999999999999998</v>
      </c>
      <c r="M118" s="133" t="s">
        <v>210</v>
      </c>
      <c r="N118" s="137">
        <v>174</v>
      </c>
      <c r="O118" s="138">
        <v>30</v>
      </c>
      <c r="P118" s="138">
        <v>10</v>
      </c>
      <c r="Q118" s="139">
        <v>0</v>
      </c>
      <c r="R118" s="161">
        <v>1530</v>
      </c>
      <c r="S118" s="135">
        <v>0.3</v>
      </c>
      <c r="T118" s="133" t="s">
        <v>266</v>
      </c>
      <c r="U118" s="133" t="s">
        <v>381</v>
      </c>
    </row>
    <row r="119" spans="1:21" s="133" customFormat="1" ht="86.4" x14ac:dyDescent="0.3">
      <c r="A119" s="132">
        <v>45487</v>
      </c>
      <c r="B119" s="141" t="s">
        <v>382</v>
      </c>
      <c r="C119" s="133" t="s">
        <v>287</v>
      </c>
      <c r="D119" s="133" t="s">
        <v>269</v>
      </c>
      <c r="E119" s="133" t="s">
        <v>307</v>
      </c>
      <c r="F119" s="133" t="s">
        <v>333</v>
      </c>
      <c r="G119" s="119">
        <v>62</v>
      </c>
      <c r="H119" s="134">
        <v>54</v>
      </c>
      <c r="I119" s="133" t="s">
        <v>290</v>
      </c>
      <c r="J119" s="133" t="s">
        <v>273</v>
      </c>
      <c r="K119" s="136">
        <v>4.4000000000000004</v>
      </c>
      <c r="L119" s="136">
        <v>1.5</v>
      </c>
      <c r="M119" s="133" t="s">
        <v>209</v>
      </c>
      <c r="N119" s="137">
        <v>18</v>
      </c>
      <c r="O119" s="138">
        <v>3.3</v>
      </c>
      <c r="P119" s="138">
        <v>0</v>
      </c>
      <c r="Q119" s="139">
        <v>0</v>
      </c>
      <c r="R119" s="161">
        <v>506</v>
      </c>
      <c r="S119" s="135">
        <v>0.1</v>
      </c>
      <c r="T119" s="133" t="s">
        <v>266</v>
      </c>
      <c r="U119" s="133" t="s">
        <v>383</v>
      </c>
    </row>
    <row r="120" spans="1:21" s="133" customFormat="1" ht="43.2" x14ac:dyDescent="0.3">
      <c r="A120" s="132">
        <v>45487</v>
      </c>
      <c r="B120" s="141" t="s">
        <v>384</v>
      </c>
      <c r="C120" s="133" t="s">
        <v>268</v>
      </c>
      <c r="D120" s="133" t="s">
        <v>269</v>
      </c>
      <c r="E120" s="133" t="s">
        <v>344</v>
      </c>
      <c r="F120" s="133" t="s">
        <v>271</v>
      </c>
      <c r="G120" s="119">
        <v>63</v>
      </c>
      <c r="H120" s="134">
        <v>52</v>
      </c>
      <c r="I120" s="133" t="s">
        <v>290</v>
      </c>
      <c r="J120" s="133" t="s">
        <v>273</v>
      </c>
      <c r="K120" s="136">
        <v>4.4000000000000004</v>
      </c>
      <c r="L120" s="136">
        <v>1.7</v>
      </c>
      <c r="M120" s="133" t="s">
        <v>210</v>
      </c>
      <c r="N120" s="137">
        <v>120</v>
      </c>
      <c r="O120" s="138">
        <v>13</v>
      </c>
      <c r="P120" s="138">
        <v>0</v>
      </c>
      <c r="Q120" s="139">
        <v>0</v>
      </c>
      <c r="R120" s="161">
        <v>582</v>
      </c>
      <c r="S120" s="135">
        <v>0.1</v>
      </c>
      <c r="T120" s="133" t="s">
        <v>266</v>
      </c>
      <c r="U120" s="133" t="s">
        <v>386</v>
      </c>
    </row>
    <row r="121" spans="1:21" s="133" customFormat="1" ht="28.8" x14ac:dyDescent="0.3">
      <c r="A121" s="132">
        <v>45487</v>
      </c>
      <c r="B121" s="141" t="s">
        <v>387</v>
      </c>
      <c r="C121" s="133" t="s">
        <v>268</v>
      </c>
      <c r="D121" s="133" t="s">
        <v>269</v>
      </c>
      <c r="E121" s="133" t="s">
        <v>344</v>
      </c>
      <c r="F121" s="133" t="s">
        <v>333</v>
      </c>
      <c r="G121" s="119">
        <v>62</v>
      </c>
      <c r="H121" s="134">
        <v>53</v>
      </c>
      <c r="I121" s="133" t="s">
        <v>358</v>
      </c>
      <c r="J121" s="133" t="s">
        <v>273</v>
      </c>
      <c r="K121" s="136">
        <v>6.1</v>
      </c>
      <c r="L121" s="136">
        <v>1.8</v>
      </c>
      <c r="M121" s="133" t="s">
        <v>209</v>
      </c>
      <c r="N121" s="137">
        <v>36</v>
      </c>
      <c r="O121" s="138">
        <v>3.1</v>
      </c>
      <c r="P121" s="138">
        <v>0</v>
      </c>
      <c r="Q121" s="139">
        <v>0</v>
      </c>
      <c r="R121" s="161">
        <v>293</v>
      </c>
      <c r="S121" s="135">
        <v>0.1</v>
      </c>
      <c r="T121" s="133" t="s">
        <v>266</v>
      </c>
      <c r="U121" s="133" t="s">
        <v>385</v>
      </c>
    </row>
    <row r="122" spans="1:21" s="133" customFormat="1" ht="28.8" x14ac:dyDescent="0.3">
      <c r="A122" s="132">
        <v>45489</v>
      </c>
      <c r="B122" s="141" t="s">
        <v>390</v>
      </c>
      <c r="C122" s="133" t="s">
        <v>391</v>
      </c>
      <c r="D122" s="133" t="s">
        <v>304</v>
      </c>
      <c r="E122" s="133" t="s">
        <v>307</v>
      </c>
      <c r="F122" s="133" t="s">
        <v>271</v>
      </c>
      <c r="G122" s="119">
        <v>60</v>
      </c>
      <c r="H122" s="134">
        <v>24</v>
      </c>
      <c r="I122" s="133" t="s">
        <v>358</v>
      </c>
      <c r="J122" s="133" t="s">
        <v>263</v>
      </c>
      <c r="K122" s="136">
        <v>7.1</v>
      </c>
      <c r="L122" s="136">
        <v>2.6</v>
      </c>
      <c r="M122" s="133" t="s">
        <v>208</v>
      </c>
      <c r="N122" s="137">
        <v>0</v>
      </c>
      <c r="O122" s="138">
        <v>0</v>
      </c>
      <c r="P122" s="138">
        <v>0</v>
      </c>
      <c r="Q122" s="139">
        <v>0</v>
      </c>
      <c r="R122" s="161">
        <v>41</v>
      </c>
      <c r="S122" s="135">
        <v>2.5</v>
      </c>
      <c r="T122" s="133" t="s">
        <v>266</v>
      </c>
      <c r="U122" s="133" t="s">
        <v>392</v>
      </c>
    </row>
    <row r="123" spans="1:21" s="133" customFormat="1" ht="43.2" x14ac:dyDescent="0.3">
      <c r="A123" s="132">
        <v>45490</v>
      </c>
      <c r="B123" s="141" t="s">
        <v>389</v>
      </c>
      <c r="C123" s="133" t="s">
        <v>287</v>
      </c>
      <c r="D123" s="133" t="s">
        <v>269</v>
      </c>
      <c r="E123" s="133" t="s">
        <v>307</v>
      </c>
      <c r="F123" s="133" t="s">
        <v>333</v>
      </c>
      <c r="G123" s="119">
        <v>67</v>
      </c>
      <c r="H123" s="134">
        <v>51</v>
      </c>
      <c r="I123" s="133" t="s">
        <v>272</v>
      </c>
      <c r="J123" s="133" t="s">
        <v>273</v>
      </c>
      <c r="K123" s="136">
        <v>7.5</v>
      </c>
      <c r="L123" s="136">
        <v>1.3</v>
      </c>
      <c r="M123" s="133" t="s">
        <v>210</v>
      </c>
      <c r="N123" s="137">
        <v>90</v>
      </c>
      <c r="O123" s="138">
        <v>35</v>
      </c>
      <c r="P123" s="138">
        <v>0</v>
      </c>
      <c r="Q123" s="139">
        <v>0</v>
      </c>
      <c r="R123" s="161">
        <v>1318</v>
      </c>
      <c r="S123" s="135">
        <v>0.3</v>
      </c>
      <c r="T123" s="133" t="s">
        <v>266</v>
      </c>
      <c r="U123" s="133" t="s">
        <v>393</v>
      </c>
    </row>
    <row r="124" spans="1:21" s="133" customFormat="1" ht="28.8" x14ac:dyDescent="0.3">
      <c r="A124" s="132">
        <v>45490</v>
      </c>
      <c r="B124" s="141" t="s">
        <v>395</v>
      </c>
      <c r="C124" s="133" t="s">
        <v>287</v>
      </c>
      <c r="D124" s="133" t="s">
        <v>269</v>
      </c>
      <c r="E124" s="133" t="s">
        <v>396</v>
      </c>
      <c r="F124" s="133" t="s">
        <v>271</v>
      </c>
      <c r="G124" s="119">
        <v>59</v>
      </c>
      <c r="H124" s="134">
        <v>48</v>
      </c>
      <c r="I124" s="133" t="s">
        <v>272</v>
      </c>
      <c r="J124" s="133" t="s">
        <v>289</v>
      </c>
      <c r="K124" s="136">
        <v>2.4</v>
      </c>
      <c r="L124" s="136">
        <v>0.6</v>
      </c>
      <c r="M124" s="133" t="s">
        <v>405</v>
      </c>
      <c r="N124" s="137">
        <v>12</v>
      </c>
      <c r="O124" s="138">
        <v>0.6</v>
      </c>
      <c r="P124" s="138">
        <v>0</v>
      </c>
      <c r="Q124" s="139">
        <v>0</v>
      </c>
      <c r="R124" s="161">
        <v>36</v>
      </c>
      <c r="S124" s="135">
        <v>6</v>
      </c>
      <c r="T124" s="133" t="s">
        <v>266</v>
      </c>
    </row>
    <row r="125" spans="1:21" s="133" customFormat="1" ht="28.8" x14ac:dyDescent="0.3">
      <c r="A125" s="132">
        <v>45494</v>
      </c>
      <c r="B125" s="141" t="s">
        <v>401</v>
      </c>
      <c r="C125" s="133" t="s">
        <v>399</v>
      </c>
      <c r="D125" s="133" t="s">
        <v>304</v>
      </c>
      <c r="E125" s="133" t="s">
        <v>345</v>
      </c>
      <c r="F125" s="133" t="s">
        <v>271</v>
      </c>
      <c r="G125" s="119">
        <v>58</v>
      </c>
      <c r="H125" s="134">
        <v>32</v>
      </c>
      <c r="I125" s="133" t="s">
        <v>400</v>
      </c>
      <c r="J125" s="133" t="s">
        <v>289</v>
      </c>
      <c r="K125" s="136">
        <v>6.8</v>
      </c>
      <c r="L125" s="136">
        <v>1.9</v>
      </c>
      <c r="M125" s="133" t="s">
        <v>289</v>
      </c>
      <c r="N125" s="137">
        <v>0</v>
      </c>
      <c r="O125" s="138">
        <v>0</v>
      </c>
      <c r="P125" s="138">
        <v>0</v>
      </c>
      <c r="Q125" s="139">
        <v>0</v>
      </c>
      <c r="R125" s="161">
        <v>33</v>
      </c>
      <c r="S125" s="135">
        <v>3.7</v>
      </c>
      <c r="T125" s="133" t="s">
        <v>266</v>
      </c>
    </row>
    <row r="126" spans="1:21" s="133" customFormat="1" ht="28.8" x14ac:dyDescent="0.3">
      <c r="A126" s="132">
        <v>45497</v>
      </c>
      <c r="B126" s="141" t="s">
        <v>403</v>
      </c>
      <c r="C126" s="133" t="s">
        <v>268</v>
      </c>
      <c r="D126" s="133" t="s">
        <v>269</v>
      </c>
      <c r="E126" s="133" t="s">
        <v>307</v>
      </c>
      <c r="F126" s="133" t="s">
        <v>333</v>
      </c>
      <c r="G126" s="119">
        <v>60</v>
      </c>
      <c r="H126" s="134">
        <v>47</v>
      </c>
      <c r="I126" s="133" t="s">
        <v>349</v>
      </c>
      <c r="J126" s="133" t="s">
        <v>208</v>
      </c>
      <c r="K126" s="136">
        <v>10.199999999999999</v>
      </c>
      <c r="L126" s="136">
        <v>2.7</v>
      </c>
      <c r="M126" s="133" t="s">
        <v>210</v>
      </c>
      <c r="N126" s="137">
        <v>30</v>
      </c>
      <c r="O126" s="138">
        <v>1.6</v>
      </c>
      <c r="P126" s="138">
        <v>0</v>
      </c>
      <c r="Q126" s="139">
        <v>0</v>
      </c>
      <c r="R126" s="161">
        <v>90</v>
      </c>
      <c r="S126" s="135">
        <v>0.7</v>
      </c>
      <c r="T126" s="133" t="s">
        <v>266</v>
      </c>
    </row>
    <row r="127" spans="1:21" s="133" customFormat="1" x14ac:dyDescent="0.3">
      <c r="A127" s="132"/>
      <c r="B127" s="141"/>
      <c r="G127" s="119"/>
      <c r="H127" s="134"/>
      <c r="K127" s="136"/>
      <c r="L127" s="136"/>
      <c r="N127" s="137"/>
      <c r="O127" s="138"/>
      <c r="P127" s="138"/>
      <c r="Q127" s="139"/>
      <c r="R127" s="161"/>
      <c r="S127" s="135"/>
    </row>
    <row r="128" spans="1:21" s="133" customFormat="1" x14ac:dyDescent="0.3">
      <c r="A128" s="132"/>
      <c r="B128" s="141"/>
      <c r="G128" s="119"/>
      <c r="H128" s="134"/>
      <c r="K128" s="136"/>
      <c r="L128" s="136"/>
      <c r="N128" s="137"/>
      <c r="O128" s="138"/>
      <c r="P128" s="138"/>
      <c r="Q128" s="139"/>
      <c r="R128" s="161"/>
      <c r="S128" s="135"/>
    </row>
    <row r="129" spans="1:19" s="133" customFormat="1" x14ac:dyDescent="0.3">
      <c r="A129" s="132"/>
      <c r="B129" s="141"/>
      <c r="G129" s="119"/>
      <c r="H129" s="134"/>
      <c r="K129" s="136"/>
      <c r="L129" s="136"/>
      <c r="N129" s="137"/>
      <c r="O129" s="138"/>
      <c r="P129" s="138"/>
      <c r="Q129" s="139"/>
      <c r="R129" s="161"/>
      <c r="S129" s="135"/>
    </row>
    <row r="130" spans="1:19" s="133" customFormat="1" x14ac:dyDescent="0.3">
      <c r="A130" s="132"/>
      <c r="B130" s="141"/>
      <c r="G130" s="119"/>
      <c r="H130" s="134"/>
      <c r="K130" s="136"/>
      <c r="L130" s="136"/>
      <c r="N130" s="137"/>
      <c r="O130" s="138"/>
      <c r="P130" s="138"/>
      <c r="Q130" s="139"/>
      <c r="R130" s="161"/>
      <c r="S130" s="135"/>
    </row>
    <row r="131" spans="1:19" s="133" customFormat="1" x14ac:dyDescent="0.3">
      <c r="A131" s="132"/>
      <c r="B131" s="141"/>
      <c r="G131" s="119"/>
      <c r="H131" s="134"/>
      <c r="K131" s="136"/>
      <c r="L131" s="136"/>
      <c r="N131" s="137"/>
      <c r="O131" s="138"/>
      <c r="P131" s="138"/>
      <c r="Q131" s="139"/>
      <c r="R131" s="161"/>
      <c r="S131" s="135"/>
    </row>
    <row r="132" spans="1:19" s="133" customFormat="1" x14ac:dyDescent="0.3">
      <c r="A132" s="132"/>
      <c r="B132" s="141"/>
      <c r="G132" s="119"/>
      <c r="H132" s="134"/>
      <c r="K132" s="136"/>
      <c r="L132" s="136"/>
      <c r="N132" s="137"/>
      <c r="O132" s="138"/>
      <c r="P132" s="138"/>
      <c r="Q132" s="139"/>
      <c r="R132" s="161"/>
      <c r="S132" s="135"/>
    </row>
    <row r="133" spans="1:19" s="133" customFormat="1" x14ac:dyDescent="0.3">
      <c r="A133" s="132"/>
      <c r="B133" s="141"/>
      <c r="G133" s="119"/>
      <c r="H133" s="134"/>
      <c r="K133" s="136"/>
      <c r="L133" s="136"/>
      <c r="N133" s="137"/>
      <c r="O133" s="138"/>
      <c r="P133" s="138"/>
      <c r="Q133" s="139"/>
      <c r="R133" s="161"/>
      <c r="S133" s="135"/>
    </row>
    <row r="134" spans="1:19" s="133" customFormat="1" x14ac:dyDescent="0.3">
      <c r="A134" s="132"/>
      <c r="B134" s="141"/>
      <c r="G134" s="119"/>
      <c r="H134" s="134"/>
      <c r="K134" s="136"/>
      <c r="L134" s="136"/>
      <c r="N134" s="137"/>
      <c r="O134" s="138"/>
      <c r="P134" s="138"/>
      <c r="Q134" s="139"/>
      <c r="R134" s="161"/>
      <c r="S134" s="135"/>
    </row>
    <row r="135" spans="1:19" s="133" customFormat="1" x14ac:dyDescent="0.3">
      <c r="A135" s="132"/>
      <c r="B135" s="141"/>
      <c r="G135" s="119"/>
      <c r="H135" s="134"/>
      <c r="K135" s="136"/>
      <c r="L135" s="136"/>
      <c r="N135" s="137"/>
      <c r="O135" s="138"/>
      <c r="P135" s="138"/>
      <c r="Q135" s="139"/>
      <c r="R135" s="161"/>
      <c r="S135" s="135"/>
    </row>
    <row r="136" spans="1:19" s="133" customFormat="1" x14ac:dyDescent="0.3">
      <c r="A136" s="132"/>
      <c r="B136" s="141"/>
      <c r="G136" s="119"/>
      <c r="H136" s="134"/>
      <c r="K136" s="136"/>
      <c r="L136" s="136"/>
      <c r="N136" s="137"/>
      <c r="O136" s="138"/>
      <c r="P136" s="138"/>
      <c r="Q136" s="139"/>
      <c r="R136" s="161"/>
      <c r="S136" s="135"/>
    </row>
    <row r="137" spans="1:19" s="133" customFormat="1" x14ac:dyDescent="0.3">
      <c r="A137" s="132"/>
      <c r="B137" s="141"/>
      <c r="G137" s="119"/>
      <c r="H137" s="134"/>
      <c r="K137" s="136"/>
      <c r="L137" s="136"/>
      <c r="N137" s="137"/>
      <c r="O137" s="138"/>
      <c r="P137" s="138"/>
      <c r="Q137" s="139"/>
      <c r="R137" s="161"/>
      <c r="S137" s="135"/>
    </row>
    <row r="138" spans="1:19" s="133" customFormat="1" x14ac:dyDescent="0.3">
      <c r="A138" s="132"/>
      <c r="C138" s="51" t="s">
        <v>137</v>
      </c>
      <c r="D138" s="51"/>
      <c r="E138" s="118"/>
      <c r="F138" s="118"/>
      <c r="G138" s="119"/>
      <c r="H138" s="118">
        <f>COUNTIF(T116:T136,"*áno*")</f>
        <v>11</v>
      </c>
      <c r="K138" s="136"/>
      <c r="L138" s="136"/>
      <c r="N138" s="137"/>
      <c r="O138" s="138"/>
      <c r="P138" s="138"/>
      <c r="Q138" s="139"/>
      <c r="R138" s="161"/>
      <c r="S138" s="135"/>
    </row>
    <row r="139" spans="1:19" s="133" customFormat="1" x14ac:dyDescent="0.3">
      <c r="A139" s="132"/>
      <c r="C139" s="51" t="s">
        <v>138</v>
      </c>
      <c r="D139" s="51"/>
      <c r="E139" s="118"/>
      <c r="F139" s="118"/>
      <c r="G139" s="119"/>
      <c r="H139" s="118">
        <f>COUNTIF(E116:E136,"*w*")</f>
        <v>8</v>
      </c>
      <c r="K139" s="136"/>
      <c r="L139" s="136"/>
      <c r="N139" s="137"/>
      <c r="O139" s="138"/>
      <c r="P139" s="138"/>
      <c r="Q139" s="139"/>
      <c r="R139" s="161"/>
      <c r="S139" s="135"/>
    </row>
    <row r="140" spans="1:19" s="133" customFormat="1" x14ac:dyDescent="0.3">
      <c r="A140" s="132"/>
      <c r="C140" s="51" t="s">
        <v>139</v>
      </c>
      <c r="D140" s="51"/>
      <c r="E140" s="118"/>
      <c r="F140" s="118"/>
      <c r="G140" s="119"/>
      <c r="H140" s="118">
        <f>COUNTIF(E116:E136,"*P*")</f>
        <v>8</v>
      </c>
      <c r="K140" s="136"/>
      <c r="L140" s="136"/>
      <c r="N140" s="137"/>
      <c r="O140" s="138"/>
      <c r="P140" s="138"/>
      <c r="Q140" s="139"/>
      <c r="R140" s="161"/>
      <c r="S140" s="135"/>
    </row>
    <row r="141" spans="1:19" s="133" customFormat="1" x14ac:dyDescent="0.3">
      <c r="A141" s="132"/>
      <c r="C141" s="51" t="s">
        <v>140</v>
      </c>
      <c r="D141" s="51"/>
      <c r="E141" s="118"/>
      <c r="F141" s="118"/>
      <c r="G141" s="119"/>
      <c r="H141" s="118">
        <f>COUNTIF(E116:E136,"*L*")</f>
        <v>1</v>
      </c>
      <c r="K141" s="136"/>
      <c r="L141" s="136"/>
      <c r="N141" s="137"/>
      <c r="O141" s="138"/>
      <c r="P141" s="138"/>
      <c r="Q141" s="139"/>
      <c r="R141" s="161"/>
      <c r="S141" s="135"/>
    </row>
    <row r="142" spans="1:19" s="133" customFormat="1" x14ac:dyDescent="0.3">
      <c r="A142" s="132"/>
      <c r="C142" s="51" t="s">
        <v>141</v>
      </c>
      <c r="D142" s="51"/>
      <c r="E142" s="118"/>
      <c r="F142" s="118"/>
      <c r="G142" s="119"/>
      <c r="H142" s="118">
        <f>COUNTIF(E116:E136,"*V*")</f>
        <v>2</v>
      </c>
      <c r="K142" s="136"/>
      <c r="L142" s="136"/>
      <c r="N142" s="137"/>
      <c r="O142" s="138"/>
      <c r="P142" s="138"/>
      <c r="Q142" s="139"/>
      <c r="R142" s="161"/>
      <c r="S142" s="135"/>
    </row>
    <row r="143" spans="1:19" s="133" customFormat="1" x14ac:dyDescent="0.3">
      <c r="A143" s="132"/>
      <c r="C143" s="51"/>
      <c r="D143" s="51"/>
      <c r="E143" s="118"/>
      <c r="F143" s="118"/>
      <c r="G143" s="119"/>
      <c r="H143" s="118"/>
      <c r="K143" s="136"/>
      <c r="L143" s="136"/>
      <c r="N143" s="137"/>
      <c r="O143" s="138"/>
      <c r="P143" s="138"/>
      <c r="Q143" s="139"/>
      <c r="R143" s="161"/>
      <c r="S143" s="135"/>
    </row>
    <row r="144" spans="1:19" s="133" customFormat="1" x14ac:dyDescent="0.3">
      <c r="A144" s="132"/>
      <c r="C144" s="51" t="s">
        <v>142</v>
      </c>
      <c r="D144" s="51"/>
      <c r="E144" s="118"/>
      <c r="F144" s="118"/>
      <c r="G144" s="119"/>
      <c r="H144" s="118">
        <f>COUNTIF(E116:E136,"*D*")</f>
        <v>11</v>
      </c>
      <c r="K144" s="136"/>
      <c r="L144" s="136"/>
      <c r="N144" s="137"/>
      <c r="O144" s="138"/>
      <c r="P144" s="138"/>
      <c r="Q144" s="139"/>
      <c r="R144" s="161"/>
      <c r="S144" s="135"/>
    </row>
    <row r="145" spans="1:21" s="133" customFormat="1" x14ac:dyDescent="0.3">
      <c r="A145" s="132"/>
      <c r="C145" s="51" t="s">
        <v>143</v>
      </c>
      <c r="D145" s="51"/>
      <c r="E145" s="118"/>
      <c r="F145" s="118"/>
      <c r="G145" s="119"/>
      <c r="H145" s="118">
        <f>COUNTIF(E116:E136,"*S*")</f>
        <v>0</v>
      </c>
      <c r="K145" s="136"/>
      <c r="L145" s="136"/>
      <c r="N145" s="137"/>
      <c r="O145" s="138"/>
      <c r="P145" s="138"/>
      <c r="Q145" s="139"/>
      <c r="R145" s="161"/>
      <c r="S145" s="135"/>
    </row>
    <row r="146" spans="1:21" s="133" customFormat="1" x14ac:dyDescent="0.3">
      <c r="A146" s="132"/>
      <c r="C146" s="51" t="s">
        <v>144</v>
      </c>
      <c r="D146" s="51"/>
      <c r="E146" s="118"/>
      <c r="F146" s="118"/>
      <c r="G146" s="119"/>
      <c r="H146" s="118">
        <f>COUNTIF(E116:E136,"*K*")</f>
        <v>2</v>
      </c>
      <c r="K146" s="136"/>
      <c r="L146" s="136"/>
      <c r="N146" s="137"/>
      <c r="O146" s="138"/>
      <c r="P146" s="138"/>
      <c r="Q146" s="139"/>
      <c r="R146" s="161"/>
      <c r="S146" s="135"/>
    </row>
    <row r="147" spans="1:21" s="133" customFormat="1" x14ac:dyDescent="0.3">
      <c r="A147" s="132"/>
      <c r="C147" s="51" t="s">
        <v>145</v>
      </c>
      <c r="D147" s="51"/>
      <c r="E147" s="118"/>
      <c r="F147" s="118"/>
      <c r="G147" s="119"/>
      <c r="H147" s="118">
        <f>COUNTIF(E116:E136,"*Z*")</f>
        <v>9</v>
      </c>
      <c r="K147" s="136"/>
      <c r="L147" s="136"/>
      <c r="N147" s="137"/>
      <c r="O147" s="138"/>
      <c r="P147" s="138"/>
      <c r="Q147" s="139"/>
      <c r="R147" s="161"/>
      <c r="S147" s="135"/>
    </row>
    <row r="148" spans="1:21" s="133" customFormat="1" x14ac:dyDescent="0.3">
      <c r="A148" s="140" t="s">
        <v>111</v>
      </c>
      <c r="G148" s="119"/>
      <c r="H148" s="134"/>
      <c r="K148" s="136"/>
      <c r="L148" s="136"/>
      <c r="N148" s="137"/>
      <c r="O148" s="138"/>
      <c r="P148" s="138"/>
      <c r="Q148" s="139"/>
      <c r="R148" s="161"/>
      <c r="S148" s="135"/>
    </row>
    <row r="149" spans="1:21" s="133" customFormat="1" x14ac:dyDescent="0.3">
      <c r="A149" s="132">
        <v>45512</v>
      </c>
      <c r="B149" s="141" t="s">
        <v>426</v>
      </c>
      <c r="C149" s="133" t="s">
        <v>268</v>
      </c>
      <c r="D149" s="133" t="s">
        <v>269</v>
      </c>
      <c r="E149" s="133" t="s">
        <v>424</v>
      </c>
      <c r="F149" s="133" t="s">
        <v>271</v>
      </c>
      <c r="G149" s="119"/>
      <c r="H149" s="134"/>
      <c r="I149" s="133" t="s">
        <v>425</v>
      </c>
      <c r="J149" s="133" t="s">
        <v>325</v>
      </c>
      <c r="K149" s="136">
        <v>1.4</v>
      </c>
      <c r="L149" s="136">
        <v>0.6</v>
      </c>
      <c r="M149" s="133" t="s">
        <v>209</v>
      </c>
      <c r="N149" s="137">
        <v>0</v>
      </c>
      <c r="O149" s="138">
        <v>0</v>
      </c>
      <c r="P149" s="138">
        <v>0</v>
      </c>
      <c r="Q149" s="139">
        <v>0</v>
      </c>
      <c r="R149" s="161">
        <v>42</v>
      </c>
      <c r="S149" s="135">
        <v>8.8000000000000007</v>
      </c>
      <c r="T149" s="133" t="s">
        <v>266</v>
      </c>
    </row>
    <row r="150" spans="1:21" s="133" customFormat="1" ht="28.8" x14ac:dyDescent="0.3">
      <c r="A150" s="132">
        <v>45519</v>
      </c>
      <c r="B150" s="141" t="s">
        <v>409</v>
      </c>
      <c r="C150" s="133" t="s">
        <v>287</v>
      </c>
      <c r="D150" s="133" t="s">
        <v>304</v>
      </c>
      <c r="E150" s="133" t="s">
        <v>307</v>
      </c>
      <c r="F150" s="133" t="s">
        <v>333</v>
      </c>
      <c r="G150" s="119">
        <v>63</v>
      </c>
      <c r="H150" s="134">
        <v>54</v>
      </c>
      <c r="I150" s="133" t="s">
        <v>290</v>
      </c>
      <c r="J150" s="133" t="s">
        <v>273</v>
      </c>
      <c r="K150" s="136">
        <v>7.5</v>
      </c>
      <c r="L150" s="136">
        <v>1.8</v>
      </c>
      <c r="M150" s="133" t="s">
        <v>423</v>
      </c>
      <c r="N150" s="137">
        <v>120</v>
      </c>
      <c r="O150" s="138">
        <v>8.5</v>
      </c>
      <c r="P150" s="138">
        <v>0</v>
      </c>
      <c r="Q150" s="139">
        <v>0</v>
      </c>
      <c r="R150" s="161">
        <v>67</v>
      </c>
      <c r="S150" s="135">
        <v>3</v>
      </c>
      <c r="T150" s="133" t="s">
        <v>266</v>
      </c>
    </row>
    <row r="151" spans="1:21" s="133" customFormat="1" ht="28.8" x14ac:dyDescent="0.3">
      <c r="A151" s="132">
        <v>45519</v>
      </c>
      <c r="B151" s="141" t="s">
        <v>413</v>
      </c>
      <c r="C151" s="133" t="s">
        <v>287</v>
      </c>
      <c r="D151" s="133" t="s">
        <v>362</v>
      </c>
      <c r="E151" s="133" t="s">
        <v>344</v>
      </c>
      <c r="F151" s="133" t="s">
        <v>271</v>
      </c>
      <c r="G151" s="119">
        <v>60</v>
      </c>
      <c r="H151" s="134">
        <v>51</v>
      </c>
      <c r="I151" s="133" t="s">
        <v>290</v>
      </c>
      <c r="J151" s="133" t="s">
        <v>208</v>
      </c>
      <c r="K151" s="136">
        <v>2</v>
      </c>
      <c r="L151" s="136">
        <v>0.7</v>
      </c>
      <c r="M151" s="133" t="s">
        <v>210</v>
      </c>
      <c r="N151" s="137">
        <v>18</v>
      </c>
      <c r="O151" s="138">
        <v>3.5</v>
      </c>
      <c r="P151" s="138">
        <v>0</v>
      </c>
      <c r="Q151" s="139">
        <v>0</v>
      </c>
      <c r="R151" s="161">
        <v>18</v>
      </c>
      <c r="S151" s="135">
        <v>2.5</v>
      </c>
      <c r="T151" s="133" t="s">
        <v>266</v>
      </c>
    </row>
    <row r="152" spans="1:21" s="133" customFormat="1" ht="43.2" x14ac:dyDescent="0.3">
      <c r="A152" s="132">
        <v>45521</v>
      </c>
      <c r="B152" s="141" t="s">
        <v>410</v>
      </c>
      <c r="C152" s="133" t="s">
        <v>330</v>
      </c>
      <c r="D152" s="133" t="s">
        <v>304</v>
      </c>
      <c r="E152" s="133" t="s">
        <v>312</v>
      </c>
      <c r="F152" s="133" t="s">
        <v>271</v>
      </c>
      <c r="G152" s="119">
        <v>62</v>
      </c>
      <c r="H152" s="134">
        <v>17</v>
      </c>
      <c r="I152" s="133" t="s">
        <v>411</v>
      </c>
      <c r="J152" s="133" t="s">
        <v>289</v>
      </c>
      <c r="K152" s="136">
        <v>7.5</v>
      </c>
      <c r="L152" s="136">
        <v>1.7</v>
      </c>
      <c r="M152" s="133" t="s">
        <v>423</v>
      </c>
      <c r="N152" s="137">
        <v>0</v>
      </c>
      <c r="O152" s="138">
        <v>0</v>
      </c>
      <c r="P152" s="138">
        <v>0</v>
      </c>
      <c r="Q152" s="139">
        <v>0</v>
      </c>
      <c r="R152" s="161">
        <v>13</v>
      </c>
      <c r="S152" s="135">
        <v>7.9</v>
      </c>
      <c r="T152" s="133" t="s">
        <v>266</v>
      </c>
      <c r="U152" s="133" t="s">
        <v>412</v>
      </c>
    </row>
    <row r="153" spans="1:21" s="133" customFormat="1" ht="28.8" x14ac:dyDescent="0.3">
      <c r="A153" s="132">
        <v>45523</v>
      </c>
      <c r="B153" s="141" t="s">
        <v>415</v>
      </c>
      <c r="C153" s="133" t="s">
        <v>287</v>
      </c>
      <c r="D153" s="133" t="s">
        <v>362</v>
      </c>
      <c r="E153" s="133" t="s">
        <v>307</v>
      </c>
      <c r="F153" s="133" t="s">
        <v>271</v>
      </c>
      <c r="G153" s="119">
        <v>66</v>
      </c>
      <c r="H153" s="134">
        <v>45</v>
      </c>
      <c r="I153" s="133" t="s">
        <v>349</v>
      </c>
      <c r="J153" s="133" t="s">
        <v>273</v>
      </c>
      <c r="K153" s="136">
        <v>10.199999999999999</v>
      </c>
      <c r="L153" s="136">
        <v>2.2999999999999998</v>
      </c>
      <c r="M153" s="133" t="s">
        <v>210</v>
      </c>
      <c r="N153" s="137">
        <v>12</v>
      </c>
      <c r="O153" s="138">
        <v>2</v>
      </c>
      <c r="P153" s="138">
        <v>0</v>
      </c>
      <c r="Q153" s="139">
        <v>0</v>
      </c>
      <c r="R153" s="161">
        <v>435</v>
      </c>
      <c r="S153" s="135">
        <v>0.5</v>
      </c>
      <c r="T153" s="133" t="s">
        <v>266</v>
      </c>
      <c r="U153" s="133" t="s">
        <v>414</v>
      </c>
    </row>
    <row r="154" spans="1:21" s="133" customFormat="1" ht="43.2" x14ac:dyDescent="0.3">
      <c r="A154" s="132">
        <v>45525</v>
      </c>
      <c r="B154" s="141" t="s">
        <v>418</v>
      </c>
      <c r="C154" s="133" t="s">
        <v>352</v>
      </c>
      <c r="D154" s="133" t="s">
        <v>419</v>
      </c>
      <c r="E154" s="133" t="s">
        <v>307</v>
      </c>
      <c r="F154" s="133" t="s">
        <v>333</v>
      </c>
      <c r="G154" s="119">
        <v>60</v>
      </c>
      <c r="H154" s="134">
        <v>44</v>
      </c>
      <c r="J154" s="133" t="s">
        <v>273</v>
      </c>
      <c r="K154" s="136">
        <v>7.5</v>
      </c>
      <c r="L154" s="136">
        <v>1.4</v>
      </c>
      <c r="M154" s="133" t="s">
        <v>209</v>
      </c>
      <c r="N154" s="137">
        <v>18</v>
      </c>
      <c r="O154" s="138">
        <v>4.3</v>
      </c>
      <c r="P154" s="138">
        <v>0</v>
      </c>
      <c r="Q154" s="139">
        <v>0</v>
      </c>
      <c r="R154" s="161">
        <v>133</v>
      </c>
      <c r="S154" s="135">
        <v>1.5</v>
      </c>
      <c r="T154" s="133" t="s">
        <v>266</v>
      </c>
      <c r="U154" s="133" t="s">
        <v>420</v>
      </c>
    </row>
    <row r="155" spans="1:21" s="133" customFormat="1" x14ac:dyDescent="0.3">
      <c r="A155" s="132"/>
      <c r="B155" s="141"/>
      <c r="G155" s="119"/>
      <c r="H155" s="134"/>
      <c r="K155" s="136"/>
      <c r="L155" s="136"/>
      <c r="N155" s="137"/>
      <c r="O155" s="138"/>
      <c r="P155" s="138"/>
      <c r="Q155" s="139"/>
      <c r="R155" s="161"/>
      <c r="S155" s="135"/>
    </row>
    <row r="156" spans="1:21" s="133" customFormat="1" x14ac:dyDescent="0.3">
      <c r="A156" s="132"/>
      <c r="B156" s="141"/>
      <c r="G156" s="119"/>
      <c r="H156" s="134"/>
      <c r="K156" s="136"/>
      <c r="L156" s="136"/>
      <c r="N156" s="137"/>
      <c r="O156" s="138"/>
      <c r="P156" s="138"/>
      <c r="Q156" s="139"/>
      <c r="R156" s="161"/>
      <c r="S156" s="135"/>
    </row>
    <row r="157" spans="1:21" s="133" customFormat="1" x14ac:dyDescent="0.3">
      <c r="A157" s="132"/>
      <c r="B157" s="141"/>
      <c r="G157" s="119"/>
      <c r="H157" s="134"/>
      <c r="K157" s="136"/>
      <c r="L157" s="136"/>
      <c r="N157" s="137"/>
      <c r="O157" s="138"/>
      <c r="P157" s="123"/>
      <c r="Q157" s="124"/>
      <c r="R157" s="158"/>
      <c r="S157" s="120"/>
      <c r="T157" s="118"/>
    </row>
    <row r="158" spans="1:21" s="133" customFormat="1" x14ac:dyDescent="0.3">
      <c r="A158" s="132"/>
      <c r="B158" s="141"/>
      <c r="G158" s="119"/>
      <c r="H158" s="134"/>
      <c r="K158" s="136"/>
      <c r="L158" s="136"/>
      <c r="N158" s="137"/>
      <c r="O158" s="138"/>
      <c r="P158" s="123"/>
      <c r="Q158" s="124"/>
      <c r="R158" s="158"/>
      <c r="S158" s="120"/>
      <c r="T158" s="118"/>
    </row>
    <row r="159" spans="1:21" s="133" customFormat="1" x14ac:dyDescent="0.3">
      <c r="A159" s="132"/>
      <c r="B159" s="141"/>
      <c r="G159" s="119"/>
      <c r="H159" s="134"/>
      <c r="K159" s="136"/>
      <c r="L159" s="136"/>
      <c r="N159" s="137"/>
      <c r="O159" s="138"/>
      <c r="P159" s="123"/>
      <c r="Q159" s="124"/>
      <c r="R159" s="158"/>
      <c r="S159" s="120"/>
      <c r="T159" s="118"/>
    </row>
    <row r="160" spans="1:21" s="133" customFormat="1" x14ac:dyDescent="0.3">
      <c r="A160" s="132"/>
      <c r="B160" s="141"/>
      <c r="G160" s="119"/>
      <c r="H160" s="134"/>
      <c r="K160" s="136"/>
      <c r="L160" s="136"/>
      <c r="N160" s="137"/>
      <c r="O160" s="138"/>
      <c r="P160" s="123"/>
      <c r="Q160" s="124"/>
      <c r="R160" s="331"/>
      <c r="S160" s="332"/>
      <c r="T160" s="118"/>
    </row>
    <row r="161" spans="1:20" s="133" customFormat="1" x14ac:dyDescent="0.3">
      <c r="A161" s="132"/>
      <c r="B161" s="141"/>
      <c r="G161" s="119"/>
      <c r="H161" s="134"/>
      <c r="K161" s="136"/>
      <c r="L161" s="136"/>
      <c r="N161" s="137"/>
      <c r="O161" s="138"/>
      <c r="P161" s="123"/>
      <c r="Q161" s="124"/>
      <c r="R161" s="331"/>
      <c r="S161" s="332"/>
      <c r="T161" s="118"/>
    </row>
    <row r="162" spans="1:20" s="133" customFormat="1" x14ac:dyDescent="0.3">
      <c r="A162" s="132"/>
      <c r="B162" s="141"/>
      <c r="G162" s="119"/>
      <c r="H162" s="134"/>
      <c r="K162" s="136"/>
      <c r="L162" s="136"/>
      <c r="N162" s="137"/>
      <c r="O162" s="138"/>
      <c r="P162" s="123"/>
      <c r="Q162" s="124"/>
      <c r="R162" s="158"/>
      <c r="S162" s="120"/>
      <c r="T162" s="118"/>
    </row>
    <row r="163" spans="1:20" s="133" customFormat="1" x14ac:dyDescent="0.3">
      <c r="A163" s="132"/>
      <c r="B163" s="141"/>
      <c r="G163" s="119"/>
      <c r="H163" s="134"/>
      <c r="K163" s="136"/>
      <c r="L163" s="136"/>
      <c r="N163" s="137"/>
      <c r="O163" s="138"/>
      <c r="P163" s="123"/>
      <c r="Q163" s="124"/>
      <c r="R163" s="158"/>
      <c r="S163" s="120"/>
      <c r="T163" s="118"/>
    </row>
    <row r="164" spans="1:20" s="133" customFormat="1" x14ac:dyDescent="0.3">
      <c r="A164" s="132"/>
      <c r="B164" s="141"/>
      <c r="G164" s="119"/>
      <c r="H164" s="134"/>
      <c r="K164" s="136"/>
      <c r="L164" s="136"/>
      <c r="N164" s="137"/>
      <c r="O164" s="138"/>
      <c r="P164" s="123"/>
      <c r="Q164" s="124"/>
      <c r="R164" s="158"/>
      <c r="S164" s="120"/>
      <c r="T164" s="118"/>
    </row>
    <row r="165" spans="1:20" s="133" customFormat="1" x14ac:dyDescent="0.3">
      <c r="A165" s="132"/>
      <c r="B165" s="141"/>
      <c r="G165" s="119"/>
      <c r="H165" s="134"/>
      <c r="K165" s="136"/>
      <c r="L165" s="136"/>
      <c r="N165" s="137"/>
      <c r="O165" s="138"/>
      <c r="P165" s="123"/>
      <c r="Q165" s="124"/>
      <c r="R165" s="158"/>
      <c r="S165" s="120"/>
      <c r="T165" s="118"/>
    </row>
    <row r="166" spans="1:20" s="133" customFormat="1" x14ac:dyDescent="0.3">
      <c r="A166" s="132"/>
      <c r="G166" s="119"/>
      <c r="H166" s="134"/>
      <c r="K166" s="136"/>
      <c r="L166" s="136"/>
      <c r="N166" s="137"/>
      <c r="O166" s="138"/>
      <c r="P166" s="123"/>
      <c r="Q166" s="124"/>
      <c r="R166" s="158"/>
      <c r="S166" s="120"/>
      <c r="T166" s="118"/>
    </row>
    <row r="167" spans="1:20" s="133" customFormat="1" x14ac:dyDescent="0.3">
      <c r="A167" s="132"/>
      <c r="C167" s="51" t="s">
        <v>137</v>
      </c>
      <c r="D167" s="51"/>
      <c r="E167" s="118"/>
      <c r="F167" s="118"/>
      <c r="G167" s="119"/>
      <c r="H167" s="118">
        <f>COUNTIF(T150:T166,"*áno*")</f>
        <v>5</v>
      </c>
      <c r="K167" s="136"/>
      <c r="L167" s="136"/>
      <c r="N167" s="137"/>
      <c r="O167" s="138"/>
      <c r="Q167" s="139"/>
      <c r="R167" s="161"/>
      <c r="S167" s="135"/>
    </row>
    <row r="168" spans="1:20" s="133" customFormat="1" x14ac:dyDescent="0.3">
      <c r="A168" s="132"/>
      <c r="C168" s="51" t="s">
        <v>138</v>
      </c>
      <c r="D168" s="51"/>
      <c r="E168" s="118"/>
      <c r="F168" s="118"/>
      <c r="G168" s="119"/>
      <c r="H168" s="118">
        <f>COUNTIF(E150:E166,"*w*")</f>
        <v>4</v>
      </c>
      <c r="K168" s="136"/>
      <c r="L168" s="136"/>
      <c r="N168" s="137"/>
      <c r="O168" s="138"/>
      <c r="P168" s="138"/>
      <c r="Q168" s="139"/>
      <c r="R168" s="161"/>
      <c r="S168" s="135"/>
    </row>
    <row r="169" spans="1:20" s="133" customFormat="1" x14ac:dyDescent="0.3">
      <c r="A169" s="132"/>
      <c r="C169" s="51" t="s">
        <v>139</v>
      </c>
      <c r="D169" s="51"/>
      <c r="E169" s="118"/>
      <c r="F169" s="118"/>
      <c r="G169" s="119"/>
      <c r="H169" s="118">
        <f>COUNTIF(E150:E166,"*P*")</f>
        <v>4</v>
      </c>
      <c r="K169" s="136"/>
      <c r="L169" s="136"/>
      <c r="N169" s="137"/>
      <c r="O169" s="138"/>
      <c r="P169" s="138"/>
      <c r="Q169" s="139"/>
      <c r="R169" s="161"/>
      <c r="S169" s="135"/>
    </row>
    <row r="170" spans="1:20" s="133" customFormat="1" x14ac:dyDescent="0.3">
      <c r="A170" s="132"/>
      <c r="C170" s="51" t="s">
        <v>140</v>
      </c>
      <c r="D170" s="51"/>
      <c r="E170" s="118"/>
      <c r="F170" s="118"/>
      <c r="G170" s="119"/>
      <c r="H170" s="118">
        <f>COUNTIF(E150:E166,"*L*")</f>
        <v>0</v>
      </c>
      <c r="K170" s="136"/>
      <c r="L170" s="136"/>
      <c r="N170" s="137"/>
      <c r="O170" s="138"/>
      <c r="P170" s="138"/>
      <c r="Q170" s="139"/>
      <c r="R170" s="161"/>
      <c r="S170" s="135"/>
    </row>
    <row r="171" spans="1:20" s="133" customFormat="1" x14ac:dyDescent="0.3">
      <c r="A171" s="132"/>
      <c r="C171" s="51" t="s">
        <v>141</v>
      </c>
      <c r="D171" s="51"/>
      <c r="E171" s="118"/>
      <c r="F171" s="118"/>
      <c r="G171" s="119"/>
      <c r="H171" s="118">
        <f>COUNTIF(E150:E166,"*V*")</f>
        <v>1</v>
      </c>
      <c r="K171" s="136"/>
      <c r="L171" s="136"/>
      <c r="N171" s="137"/>
      <c r="O171" s="138"/>
      <c r="P171" s="138"/>
      <c r="Q171" s="139"/>
      <c r="R171" s="161"/>
      <c r="S171" s="135"/>
    </row>
    <row r="172" spans="1:20" s="133" customFormat="1" x14ac:dyDescent="0.3">
      <c r="A172" s="132"/>
      <c r="C172" s="51"/>
      <c r="D172" s="51"/>
      <c r="E172" s="118"/>
      <c r="F172" s="118"/>
      <c r="G172" s="119"/>
      <c r="H172" s="118"/>
      <c r="K172" s="136"/>
      <c r="L172" s="136"/>
      <c r="N172" s="137"/>
      <c r="O172" s="138"/>
      <c r="P172" s="138"/>
      <c r="Q172" s="139"/>
      <c r="R172" s="161"/>
      <c r="S172" s="135"/>
    </row>
    <row r="173" spans="1:20" s="133" customFormat="1" x14ac:dyDescent="0.3">
      <c r="A173" s="132"/>
      <c r="C173" s="51" t="s">
        <v>142</v>
      </c>
      <c r="D173" s="51"/>
      <c r="E173" s="118"/>
      <c r="F173" s="118"/>
      <c r="G173" s="119"/>
      <c r="H173" s="118">
        <f>COUNTIF(E150:E166,"*D*")</f>
        <v>4</v>
      </c>
      <c r="K173" s="136"/>
      <c r="L173" s="136"/>
      <c r="N173" s="137"/>
      <c r="O173" s="138"/>
      <c r="P173" s="138"/>
      <c r="Q173" s="139"/>
      <c r="R173" s="161"/>
      <c r="S173" s="135"/>
    </row>
    <row r="174" spans="1:20" s="133" customFormat="1" x14ac:dyDescent="0.3">
      <c r="A174" s="132"/>
      <c r="C174" s="51" t="s">
        <v>143</v>
      </c>
      <c r="D174" s="51"/>
      <c r="E174" s="118"/>
      <c r="F174" s="118"/>
      <c r="G174" s="119"/>
      <c r="H174" s="118">
        <f>COUNTIF(E150:E166,"*S*")</f>
        <v>0</v>
      </c>
      <c r="K174" s="136"/>
      <c r="L174" s="136"/>
      <c r="N174" s="137"/>
      <c r="O174" s="138"/>
      <c r="P174" s="138"/>
      <c r="Q174" s="139"/>
      <c r="R174" s="161"/>
      <c r="S174" s="135"/>
    </row>
    <row r="175" spans="1:20" s="133" customFormat="1" x14ac:dyDescent="0.3">
      <c r="A175" s="132"/>
      <c r="C175" s="51" t="s">
        <v>144</v>
      </c>
      <c r="D175" s="51"/>
      <c r="E175" s="118"/>
      <c r="F175" s="118"/>
      <c r="G175" s="119"/>
      <c r="H175" s="118">
        <f>COUNTIF(E150:E166,"*K*")</f>
        <v>0</v>
      </c>
      <c r="K175" s="136"/>
      <c r="L175" s="136"/>
      <c r="N175" s="137"/>
      <c r="O175" s="138"/>
      <c r="P175" s="138"/>
      <c r="Q175" s="139"/>
      <c r="R175" s="161"/>
      <c r="S175" s="135"/>
    </row>
    <row r="176" spans="1:20" s="133" customFormat="1" x14ac:dyDescent="0.3">
      <c r="A176" s="132"/>
      <c r="C176" s="51" t="s">
        <v>145</v>
      </c>
      <c r="D176" s="51"/>
      <c r="E176" s="118"/>
      <c r="F176" s="118"/>
      <c r="G176" s="119"/>
      <c r="H176" s="118">
        <f>COUNTIF(E150:E166,"*Z*")</f>
        <v>4</v>
      </c>
      <c r="K176" s="136"/>
      <c r="L176" s="136"/>
      <c r="N176" s="137"/>
      <c r="O176" s="138"/>
      <c r="P176" s="138"/>
      <c r="Q176" s="139"/>
      <c r="R176" s="161"/>
      <c r="S176" s="135"/>
    </row>
    <row r="177" spans="1:20" s="133" customFormat="1" x14ac:dyDescent="0.3">
      <c r="A177" s="132"/>
      <c r="C177" s="144"/>
      <c r="D177" s="144"/>
      <c r="G177" s="119"/>
      <c r="K177" s="136"/>
      <c r="L177" s="136"/>
      <c r="N177" s="137"/>
      <c r="O177" s="138"/>
      <c r="P177" s="138"/>
      <c r="Q177" s="139"/>
      <c r="R177" s="161"/>
      <c r="S177" s="135"/>
    </row>
    <row r="178" spans="1:20" s="133" customFormat="1" x14ac:dyDescent="0.3">
      <c r="A178" s="140" t="s">
        <v>112</v>
      </c>
      <c r="G178" s="119"/>
      <c r="H178" s="134"/>
      <c r="K178" s="136"/>
      <c r="L178" s="136"/>
      <c r="N178" s="137"/>
      <c r="O178" s="138"/>
      <c r="P178" s="138"/>
      <c r="Q178" s="139"/>
      <c r="R178" s="161"/>
      <c r="S178" s="135"/>
    </row>
    <row r="179" spans="1:20" s="133" customFormat="1" ht="28.8" x14ac:dyDescent="0.3">
      <c r="A179" s="132">
        <v>45548</v>
      </c>
      <c r="B179" s="141" t="s">
        <v>429</v>
      </c>
      <c r="C179" s="133" t="s">
        <v>287</v>
      </c>
      <c r="D179" s="133" t="s">
        <v>269</v>
      </c>
      <c r="E179" s="133" t="s">
        <v>307</v>
      </c>
      <c r="F179" s="133" t="s">
        <v>315</v>
      </c>
      <c r="G179" s="119">
        <v>63</v>
      </c>
      <c r="H179" s="134">
        <v>56</v>
      </c>
      <c r="I179" s="133" t="s">
        <v>430</v>
      </c>
      <c r="J179" s="133" t="s">
        <v>273</v>
      </c>
      <c r="K179" s="136">
        <v>7.5</v>
      </c>
      <c r="L179" s="136">
        <v>1.3</v>
      </c>
      <c r="M179" s="133" t="s">
        <v>208</v>
      </c>
      <c r="N179" s="137">
        <v>144</v>
      </c>
      <c r="O179" s="138">
        <v>12.7</v>
      </c>
      <c r="P179" s="138">
        <v>0</v>
      </c>
      <c r="Q179" s="139">
        <v>0</v>
      </c>
      <c r="R179" s="161">
        <v>228</v>
      </c>
      <c r="S179" s="135">
        <v>0.8</v>
      </c>
      <c r="T179" s="133" t="s">
        <v>266</v>
      </c>
    </row>
    <row r="180" spans="1:20" s="133" customFormat="1" x14ac:dyDescent="0.3">
      <c r="A180" s="132">
        <v>45553</v>
      </c>
      <c r="B180" s="141" t="s">
        <v>434</v>
      </c>
      <c r="C180" s="133" t="s">
        <v>432</v>
      </c>
      <c r="D180" s="133" t="s">
        <v>362</v>
      </c>
      <c r="E180" s="133" t="s">
        <v>312</v>
      </c>
      <c r="F180" s="133" t="s">
        <v>271</v>
      </c>
      <c r="G180" s="119">
        <v>60</v>
      </c>
      <c r="H180" s="134">
        <v>0</v>
      </c>
      <c r="I180" s="133" t="s">
        <v>433</v>
      </c>
      <c r="J180" s="133" t="s">
        <v>244</v>
      </c>
      <c r="K180" s="136">
        <v>6.5</v>
      </c>
      <c r="L180" s="136">
        <v>1.2</v>
      </c>
      <c r="M180" s="133" t="s">
        <v>209</v>
      </c>
      <c r="N180" s="137">
        <v>0</v>
      </c>
      <c r="O180" s="138">
        <v>0</v>
      </c>
      <c r="P180" s="138">
        <v>0</v>
      </c>
      <c r="Q180" s="139">
        <v>0</v>
      </c>
      <c r="R180" s="161">
        <v>2</v>
      </c>
      <c r="S180" s="135">
        <v>12.8</v>
      </c>
      <c r="T180" s="133" t="s">
        <v>266</v>
      </c>
    </row>
    <row r="181" spans="1:20" s="133" customFormat="1" ht="28.8" x14ac:dyDescent="0.3">
      <c r="A181" s="132">
        <v>45561</v>
      </c>
      <c r="B181" s="133" t="s">
        <v>440</v>
      </c>
      <c r="C181" s="133" t="s">
        <v>287</v>
      </c>
      <c r="D181" s="133" t="s">
        <v>269</v>
      </c>
      <c r="E181" s="133" t="s">
        <v>314</v>
      </c>
      <c r="F181" s="133" t="s">
        <v>271</v>
      </c>
      <c r="G181" s="119">
        <v>54</v>
      </c>
      <c r="H181" s="134">
        <v>40</v>
      </c>
      <c r="I181" s="133" t="s">
        <v>272</v>
      </c>
      <c r="J181" s="133" t="s">
        <v>244</v>
      </c>
      <c r="K181" s="136">
        <v>6.5</v>
      </c>
      <c r="L181" s="136">
        <v>3.1</v>
      </c>
      <c r="M181" s="133" t="s">
        <v>208</v>
      </c>
      <c r="N181" s="137">
        <v>0</v>
      </c>
      <c r="O181" s="138">
        <v>0</v>
      </c>
      <c r="P181" s="138">
        <v>0</v>
      </c>
      <c r="Q181" s="139">
        <v>0</v>
      </c>
      <c r="R181" s="161">
        <v>10</v>
      </c>
      <c r="S181" s="135">
        <v>9</v>
      </c>
      <c r="T181" s="133" t="s">
        <v>266</v>
      </c>
    </row>
    <row r="182" spans="1:20" s="133" customFormat="1" x14ac:dyDescent="0.3">
      <c r="A182" s="132"/>
      <c r="B182" s="141"/>
      <c r="G182" s="119"/>
      <c r="H182" s="134"/>
      <c r="K182" s="136"/>
      <c r="L182" s="136"/>
      <c r="N182" s="137"/>
      <c r="O182" s="138"/>
      <c r="P182" s="138"/>
      <c r="Q182" s="139"/>
      <c r="R182" s="161"/>
      <c r="S182" s="135"/>
    </row>
    <row r="183" spans="1:20" s="133" customFormat="1" x14ac:dyDescent="0.3">
      <c r="A183" s="132"/>
      <c r="B183" s="141"/>
      <c r="G183" s="119"/>
      <c r="H183" s="134"/>
      <c r="K183" s="136"/>
      <c r="L183" s="136"/>
      <c r="N183" s="137"/>
      <c r="O183" s="138"/>
      <c r="P183" s="138"/>
      <c r="Q183" s="139"/>
      <c r="R183" s="161"/>
      <c r="S183" s="135"/>
    </row>
    <row r="184" spans="1:20" s="133" customFormat="1" x14ac:dyDescent="0.3">
      <c r="A184" s="132"/>
      <c r="G184" s="119"/>
      <c r="H184" s="134"/>
      <c r="K184" s="136"/>
      <c r="L184" s="136"/>
      <c r="N184" s="137"/>
      <c r="O184" s="138"/>
      <c r="P184" s="138"/>
      <c r="Q184" s="139"/>
      <c r="R184" s="161"/>
      <c r="S184" s="135"/>
    </row>
    <row r="185" spans="1:20" s="133" customFormat="1" x14ac:dyDescent="0.3">
      <c r="A185" s="132"/>
      <c r="B185" s="141"/>
      <c r="G185" s="119"/>
      <c r="H185" s="134"/>
      <c r="K185" s="136"/>
      <c r="L185" s="136"/>
      <c r="N185" s="137"/>
      <c r="O185" s="138"/>
      <c r="P185" s="138"/>
      <c r="Q185" s="139"/>
      <c r="R185" s="161"/>
      <c r="S185" s="135"/>
    </row>
    <row r="186" spans="1:20" s="133" customFormat="1" x14ac:dyDescent="0.3">
      <c r="A186" s="132"/>
      <c r="B186" s="141"/>
      <c r="C186" s="51" t="s">
        <v>137</v>
      </c>
      <c r="D186" s="51"/>
      <c r="E186" s="118"/>
      <c r="F186" s="118"/>
      <c r="G186" s="119"/>
      <c r="H186" s="118">
        <f>COUNTIF(T179:T185,"*áno*")</f>
        <v>3</v>
      </c>
      <c r="K186" s="136"/>
      <c r="L186" s="136"/>
      <c r="N186" s="137"/>
      <c r="O186" s="138"/>
      <c r="P186" s="138"/>
      <c r="Q186" s="139"/>
      <c r="R186" s="161"/>
      <c r="S186" s="135"/>
    </row>
    <row r="187" spans="1:20" s="133" customFormat="1" x14ac:dyDescent="0.3">
      <c r="A187" s="132"/>
      <c r="B187" s="141"/>
      <c r="C187" s="51" t="s">
        <v>138</v>
      </c>
      <c r="D187" s="51"/>
      <c r="E187" s="118"/>
      <c r="F187" s="118"/>
      <c r="G187" s="119"/>
      <c r="H187" s="118">
        <f>COUNTIF(E179:E185,"*w*")</f>
        <v>3</v>
      </c>
      <c r="K187" s="136"/>
      <c r="L187" s="136"/>
      <c r="N187" s="137"/>
      <c r="O187" s="138"/>
      <c r="P187" s="138"/>
      <c r="Q187" s="139"/>
      <c r="R187" s="161"/>
      <c r="S187" s="135"/>
    </row>
    <row r="188" spans="1:20" s="133" customFormat="1" x14ac:dyDescent="0.3">
      <c r="A188" s="132"/>
      <c r="B188" s="141"/>
      <c r="C188" s="51" t="s">
        <v>139</v>
      </c>
      <c r="D188" s="51"/>
      <c r="E188" s="118"/>
      <c r="F188" s="118"/>
      <c r="G188" s="119"/>
      <c r="H188" s="118">
        <f>COUNTIF(E179:E185,"*P*")</f>
        <v>1</v>
      </c>
      <c r="K188" s="136"/>
      <c r="L188" s="136"/>
      <c r="N188" s="137"/>
      <c r="O188" s="138"/>
      <c r="P188" s="138"/>
      <c r="Q188" s="139"/>
      <c r="R188" s="161"/>
      <c r="S188" s="135"/>
    </row>
    <row r="189" spans="1:20" s="133" customFormat="1" x14ac:dyDescent="0.3">
      <c r="A189" s="132"/>
      <c r="B189" s="141"/>
      <c r="C189" s="51" t="s">
        <v>140</v>
      </c>
      <c r="D189" s="51"/>
      <c r="E189" s="118"/>
      <c r="F189" s="118"/>
      <c r="G189" s="119"/>
      <c r="H189" s="118">
        <f>COUNTIF(E179:E185,"*L*")</f>
        <v>0</v>
      </c>
      <c r="K189" s="136"/>
      <c r="L189" s="136"/>
      <c r="N189" s="137"/>
      <c r="O189" s="138"/>
      <c r="P189" s="138"/>
      <c r="Q189" s="139"/>
      <c r="R189" s="161"/>
      <c r="S189" s="135"/>
    </row>
    <row r="190" spans="1:20" s="133" customFormat="1" x14ac:dyDescent="0.3">
      <c r="A190" s="132"/>
      <c r="C190" s="51" t="s">
        <v>141</v>
      </c>
      <c r="D190" s="51"/>
      <c r="E190" s="118"/>
      <c r="F190" s="118"/>
      <c r="G190" s="119"/>
      <c r="H190" s="118">
        <f>COUNTIF(E179:E185,"*V*")</f>
        <v>2</v>
      </c>
      <c r="K190" s="136"/>
      <c r="L190" s="136"/>
      <c r="N190" s="137"/>
      <c r="O190" s="138"/>
      <c r="P190" s="138"/>
      <c r="Q190" s="139"/>
      <c r="R190" s="161"/>
      <c r="S190" s="135"/>
    </row>
    <row r="191" spans="1:20" s="133" customFormat="1" x14ac:dyDescent="0.3">
      <c r="A191" s="132"/>
      <c r="C191" s="51"/>
      <c r="D191" s="51"/>
      <c r="E191" s="118"/>
      <c r="F191" s="118"/>
      <c r="G191" s="119"/>
      <c r="H191" s="118"/>
      <c r="K191" s="136"/>
      <c r="L191" s="136"/>
      <c r="N191" s="137"/>
      <c r="O191" s="138"/>
      <c r="P191" s="138"/>
      <c r="Q191" s="139"/>
      <c r="R191" s="161"/>
      <c r="S191" s="135"/>
    </row>
    <row r="192" spans="1:20" s="133" customFormat="1" x14ac:dyDescent="0.3">
      <c r="A192" s="132"/>
      <c r="C192" s="51" t="s">
        <v>142</v>
      </c>
      <c r="D192" s="51"/>
      <c r="E192" s="118"/>
      <c r="F192" s="118"/>
      <c r="G192" s="119"/>
      <c r="H192" s="118">
        <f>COUNTIF(E179:E185,"*D*")</f>
        <v>2</v>
      </c>
      <c r="K192" s="136"/>
      <c r="L192" s="136"/>
      <c r="N192" s="137"/>
      <c r="O192" s="138"/>
      <c r="P192" s="138"/>
      <c r="Q192" s="139"/>
      <c r="R192" s="161"/>
      <c r="S192" s="135"/>
    </row>
    <row r="193" spans="1:19" s="133" customFormat="1" x14ac:dyDescent="0.3">
      <c r="A193" s="132"/>
      <c r="C193" s="51" t="s">
        <v>143</v>
      </c>
      <c r="D193" s="51"/>
      <c r="E193" s="118"/>
      <c r="F193" s="118"/>
      <c r="G193" s="119"/>
      <c r="H193" s="118">
        <f>COUNTIF(E179:E185,"*S*")</f>
        <v>0</v>
      </c>
      <c r="K193" s="136"/>
      <c r="L193" s="136"/>
      <c r="N193" s="137"/>
      <c r="O193" s="138"/>
      <c r="P193" s="138"/>
      <c r="Q193" s="139"/>
      <c r="R193" s="161"/>
      <c r="S193" s="135"/>
    </row>
    <row r="194" spans="1:19" s="133" customFormat="1" x14ac:dyDescent="0.3">
      <c r="A194" s="132"/>
      <c r="C194" s="51" t="s">
        <v>144</v>
      </c>
      <c r="D194" s="51"/>
      <c r="E194" s="118"/>
      <c r="F194" s="118"/>
      <c r="G194" s="119"/>
      <c r="H194" s="118">
        <f>COUNTIF(E179:E185,"*K*")</f>
        <v>0</v>
      </c>
      <c r="K194" s="136"/>
      <c r="L194" s="136"/>
      <c r="N194" s="137"/>
      <c r="O194" s="138"/>
      <c r="P194" s="138"/>
      <c r="Q194" s="139"/>
      <c r="R194" s="161"/>
      <c r="S194" s="135"/>
    </row>
    <row r="195" spans="1:19" s="133" customFormat="1" x14ac:dyDescent="0.3">
      <c r="A195" s="132"/>
      <c r="C195" s="51" t="s">
        <v>145</v>
      </c>
      <c r="D195" s="51"/>
      <c r="E195" s="118"/>
      <c r="F195" s="118"/>
      <c r="G195" s="119"/>
      <c r="H195" s="118">
        <f>COUNTIF(E179:E185,"*Z*")</f>
        <v>1</v>
      </c>
      <c r="K195" s="136"/>
      <c r="L195" s="136"/>
      <c r="N195" s="137"/>
      <c r="O195" s="138"/>
      <c r="P195" s="138"/>
      <c r="Q195" s="139"/>
      <c r="R195" s="161"/>
      <c r="S195" s="135"/>
    </row>
    <row r="196" spans="1:19" s="133" customFormat="1" x14ac:dyDescent="0.3">
      <c r="A196" s="132"/>
      <c r="C196" s="144"/>
      <c r="D196" s="144"/>
      <c r="G196" s="119"/>
      <c r="K196" s="136"/>
      <c r="L196" s="136"/>
      <c r="N196" s="137"/>
      <c r="O196" s="138"/>
      <c r="P196" s="138"/>
      <c r="Q196" s="139"/>
      <c r="R196" s="161"/>
      <c r="S196" s="135"/>
    </row>
    <row r="197" spans="1:19" s="133" customFormat="1" x14ac:dyDescent="0.3">
      <c r="A197" s="140" t="s">
        <v>178</v>
      </c>
      <c r="G197" s="119"/>
      <c r="H197" s="134"/>
      <c r="K197" s="136"/>
      <c r="L197" s="136"/>
      <c r="N197" s="137"/>
      <c r="O197" s="138"/>
      <c r="P197" s="138"/>
      <c r="Q197" s="139"/>
      <c r="R197" s="161"/>
      <c r="S197" s="135"/>
    </row>
    <row r="198" spans="1:19" s="133" customFormat="1" x14ac:dyDescent="0.3">
      <c r="A198" s="132"/>
      <c r="C198" s="333"/>
      <c r="D198" s="334"/>
      <c r="G198" s="119"/>
      <c r="H198" s="134"/>
      <c r="K198" s="136"/>
      <c r="L198" s="136"/>
      <c r="N198" s="137"/>
      <c r="O198" s="138"/>
      <c r="P198" s="138"/>
      <c r="Q198" s="139"/>
      <c r="R198" s="161"/>
      <c r="S198" s="135"/>
    </row>
    <row r="199" spans="1:19" s="133" customFormat="1" x14ac:dyDescent="0.3">
      <c r="A199" s="132"/>
      <c r="C199" s="333"/>
      <c r="D199" s="334"/>
      <c r="G199" s="119"/>
      <c r="H199" s="134"/>
      <c r="K199" s="136"/>
      <c r="L199" s="136"/>
      <c r="N199" s="137"/>
      <c r="O199" s="138"/>
      <c r="P199" s="138"/>
      <c r="Q199" s="139"/>
      <c r="R199" s="161"/>
      <c r="S199" s="135"/>
    </row>
    <row r="200" spans="1:19" s="133" customFormat="1" x14ac:dyDescent="0.3">
      <c r="A200" s="132"/>
      <c r="C200" s="144"/>
      <c r="D200" s="144"/>
      <c r="G200" s="119"/>
      <c r="H200" s="134"/>
      <c r="K200" s="136"/>
      <c r="L200" s="136"/>
      <c r="N200" s="137"/>
      <c r="O200" s="138"/>
      <c r="P200" s="138"/>
      <c r="Q200" s="139"/>
      <c r="R200" s="161"/>
      <c r="S200" s="135"/>
    </row>
    <row r="201" spans="1:19" s="133" customFormat="1" x14ac:dyDescent="0.3">
      <c r="A201" s="132"/>
      <c r="C201" s="51" t="s">
        <v>137</v>
      </c>
      <c r="D201" s="51"/>
      <c r="E201" s="118"/>
      <c r="F201" s="118"/>
      <c r="G201" s="119"/>
      <c r="H201" s="118">
        <f>COUNTIF(T198:T200,"*áno*")</f>
        <v>0</v>
      </c>
      <c r="K201" s="136"/>
      <c r="L201" s="136"/>
      <c r="N201" s="137"/>
      <c r="O201" s="138"/>
      <c r="P201" s="138"/>
      <c r="Q201" s="139"/>
      <c r="R201" s="161"/>
      <c r="S201" s="135"/>
    </row>
    <row r="202" spans="1:19" s="133" customFormat="1" x14ac:dyDescent="0.3">
      <c r="A202" s="132"/>
      <c r="C202" s="51" t="s">
        <v>138</v>
      </c>
      <c r="D202" s="51"/>
      <c r="E202" s="118"/>
      <c r="F202" s="118"/>
      <c r="G202" s="119"/>
      <c r="H202" s="118">
        <f>COUNTIF(E198:E200,"*w*")</f>
        <v>0</v>
      </c>
      <c r="K202" s="136"/>
      <c r="L202" s="136"/>
      <c r="N202" s="137"/>
      <c r="O202" s="138"/>
      <c r="P202" s="138"/>
      <c r="Q202" s="139"/>
      <c r="R202" s="161"/>
      <c r="S202" s="135"/>
    </row>
    <row r="203" spans="1:19" s="133" customFormat="1" x14ac:dyDescent="0.3">
      <c r="A203" s="132"/>
      <c r="C203" s="51" t="s">
        <v>139</v>
      </c>
      <c r="D203" s="51"/>
      <c r="E203" s="118"/>
      <c r="F203" s="118"/>
      <c r="G203" s="119"/>
      <c r="H203" s="118">
        <f>COUNTIF(E198:E200,"*P*")</f>
        <v>0</v>
      </c>
      <c r="K203" s="136"/>
      <c r="L203" s="136"/>
      <c r="N203" s="137"/>
      <c r="O203" s="138"/>
      <c r="P203" s="138"/>
      <c r="Q203" s="139"/>
      <c r="R203" s="161"/>
      <c r="S203" s="135"/>
    </row>
    <row r="204" spans="1:19" s="133" customFormat="1" x14ac:dyDescent="0.3">
      <c r="A204" s="132"/>
      <c r="C204" s="51" t="s">
        <v>140</v>
      </c>
      <c r="D204" s="51"/>
      <c r="E204" s="118"/>
      <c r="F204" s="118"/>
      <c r="G204" s="119"/>
      <c r="H204" s="118">
        <f>COUNTIF(E198:E200,"*L*")</f>
        <v>0</v>
      </c>
      <c r="K204" s="136"/>
      <c r="L204" s="136"/>
      <c r="N204" s="137"/>
      <c r="O204" s="138"/>
      <c r="P204" s="138"/>
      <c r="Q204" s="139"/>
      <c r="R204" s="161"/>
      <c r="S204" s="135"/>
    </row>
    <row r="205" spans="1:19" s="133" customFormat="1" x14ac:dyDescent="0.3">
      <c r="A205" s="132"/>
      <c r="C205" s="51" t="s">
        <v>141</v>
      </c>
      <c r="D205" s="51"/>
      <c r="E205" s="118"/>
      <c r="F205" s="118"/>
      <c r="G205" s="119"/>
      <c r="H205" s="118">
        <f>COUNTIF(E198:E200,"*V*")</f>
        <v>0</v>
      </c>
      <c r="K205" s="136"/>
      <c r="L205" s="136"/>
      <c r="N205" s="137"/>
      <c r="O205" s="138"/>
      <c r="P205" s="138"/>
      <c r="Q205" s="139"/>
      <c r="R205" s="161"/>
      <c r="S205" s="135"/>
    </row>
    <row r="206" spans="1:19" s="133" customFormat="1" x14ac:dyDescent="0.3">
      <c r="A206" s="132"/>
      <c r="C206" s="51"/>
      <c r="D206" s="51"/>
      <c r="E206" s="118"/>
      <c r="F206" s="118"/>
      <c r="G206" s="119"/>
      <c r="H206" s="118"/>
      <c r="K206" s="136"/>
      <c r="L206" s="136"/>
      <c r="N206" s="137"/>
      <c r="O206" s="138"/>
      <c r="P206" s="138"/>
      <c r="Q206" s="139"/>
      <c r="R206" s="161"/>
      <c r="S206" s="135"/>
    </row>
    <row r="207" spans="1:19" s="133" customFormat="1" x14ac:dyDescent="0.3">
      <c r="A207" s="132"/>
      <c r="C207" s="51" t="s">
        <v>142</v>
      </c>
      <c r="D207" s="51"/>
      <c r="E207" s="118"/>
      <c r="F207" s="118"/>
      <c r="G207" s="119"/>
      <c r="H207" s="118">
        <f>COUNTIF(E198:E200,"*D*")</f>
        <v>0</v>
      </c>
      <c r="K207" s="136"/>
      <c r="L207" s="136"/>
      <c r="N207" s="137"/>
      <c r="O207" s="138"/>
      <c r="P207" s="138"/>
      <c r="Q207" s="139"/>
      <c r="R207" s="161"/>
      <c r="S207" s="135"/>
    </row>
    <row r="208" spans="1:19" s="133" customFormat="1" x14ac:dyDescent="0.3">
      <c r="A208" s="132"/>
      <c r="C208" s="51" t="s">
        <v>143</v>
      </c>
      <c r="D208" s="51"/>
      <c r="E208" s="118"/>
      <c r="F208" s="118"/>
      <c r="G208" s="119"/>
      <c r="H208" s="118">
        <f>COUNTIF(E198:E200,"*S*")</f>
        <v>0</v>
      </c>
      <c r="K208" s="136"/>
      <c r="L208" s="136"/>
      <c r="N208" s="137"/>
      <c r="O208" s="138"/>
      <c r="P208" s="138"/>
      <c r="Q208" s="139"/>
      <c r="R208" s="161"/>
      <c r="S208" s="135"/>
    </row>
    <row r="209" spans="1:19" s="133" customFormat="1" x14ac:dyDescent="0.3">
      <c r="A209" s="132"/>
      <c r="C209" s="51" t="s">
        <v>144</v>
      </c>
      <c r="D209" s="51"/>
      <c r="E209" s="118"/>
      <c r="F209" s="118"/>
      <c r="G209" s="119"/>
      <c r="H209" s="118">
        <f>COUNTIF(E198:E200,"*K*")</f>
        <v>0</v>
      </c>
      <c r="K209" s="136"/>
      <c r="L209" s="136"/>
      <c r="N209" s="137"/>
      <c r="O209" s="138"/>
      <c r="P209" s="138"/>
      <c r="Q209" s="139"/>
      <c r="R209" s="161"/>
      <c r="S209" s="135"/>
    </row>
    <row r="210" spans="1:19" s="133" customFormat="1" x14ac:dyDescent="0.3">
      <c r="A210" s="132"/>
      <c r="C210" s="51" t="s">
        <v>145</v>
      </c>
      <c r="D210" s="51"/>
      <c r="E210" s="118"/>
      <c r="F210" s="118"/>
      <c r="G210" s="119"/>
      <c r="H210" s="118">
        <f>COUNTIF(E198:E200,"*Z*")</f>
        <v>0</v>
      </c>
      <c r="K210" s="136"/>
      <c r="L210" s="136"/>
      <c r="N210" s="137"/>
      <c r="O210" s="138"/>
      <c r="P210" s="138"/>
      <c r="Q210" s="139"/>
      <c r="R210" s="161"/>
      <c r="S210" s="135"/>
    </row>
    <row r="211" spans="1:19" s="133" customFormat="1" x14ac:dyDescent="0.3">
      <c r="A211" s="132"/>
      <c r="C211" s="144"/>
      <c r="D211" s="144"/>
      <c r="G211" s="119"/>
      <c r="K211" s="136"/>
      <c r="L211" s="136"/>
      <c r="N211" s="137"/>
      <c r="O211" s="138"/>
      <c r="P211" s="138"/>
      <c r="Q211" s="139"/>
      <c r="R211" s="161"/>
      <c r="S211" s="135"/>
    </row>
    <row r="212" spans="1:19" s="133" customFormat="1" x14ac:dyDescent="0.3">
      <c r="A212" s="140" t="s">
        <v>179</v>
      </c>
      <c r="G212" s="119"/>
      <c r="H212" s="134"/>
      <c r="K212" s="136"/>
      <c r="L212" s="136"/>
      <c r="N212" s="137"/>
      <c r="O212" s="138"/>
      <c r="P212" s="138"/>
      <c r="Q212" s="139"/>
      <c r="R212" s="161"/>
      <c r="S212" s="135"/>
    </row>
    <row r="213" spans="1:19" s="133" customFormat="1" x14ac:dyDescent="0.3">
      <c r="A213" s="132"/>
      <c r="C213" s="144"/>
      <c r="D213" s="144"/>
      <c r="G213" s="119"/>
      <c r="K213" s="136"/>
      <c r="L213" s="136"/>
      <c r="N213" s="137"/>
      <c r="O213" s="138"/>
      <c r="P213" s="138"/>
      <c r="Q213" s="139"/>
      <c r="R213" s="161"/>
      <c r="S213" s="135"/>
    </row>
    <row r="214" spans="1:19" s="133" customFormat="1" x14ac:dyDescent="0.3">
      <c r="A214" s="132"/>
      <c r="C214" s="144"/>
      <c r="D214" s="144"/>
      <c r="G214" s="119"/>
      <c r="K214" s="136"/>
      <c r="L214" s="136"/>
      <c r="N214" s="137"/>
      <c r="O214" s="138"/>
      <c r="P214" s="138"/>
      <c r="Q214" s="139"/>
      <c r="R214" s="161"/>
      <c r="S214" s="135"/>
    </row>
    <row r="215" spans="1:19" s="133" customFormat="1" x14ac:dyDescent="0.3">
      <c r="A215" s="132"/>
      <c r="C215" s="144"/>
      <c r="D215" s="144"/>
      <c r="G215" s="119"/>
      <c r="K215" s="136"/>
      <c r="L215" s="136"/>
      <c r="N215" s="137"/>
      <c r="O215" s="138"/>
      <c r="P215" s="138"/>
      <c r="Q215" s="139"/>
      <c r="R215" s="161"/>
      <c r="S215" s="135"/>
    </row>
    <row r="216" spans="1:19" s="133" customFormat="1" x14ac:dyDescent="0.3">
      <c r="A216" s="132"/>
      <c r="C216" s="51" t="s">
        <v>137</v>
      </c>
      <c r="D216" s="51"/>
      <c r="E216" s="118"/>
      <c r="F216" s="118"/>
      <c r="G216" s="119"/>
      <c r="H216" s="118">
        <f>COUNTIF(T213:T215,"*áno*")</f>
        <v>0</v>
      </c>
      <c r="K216" s="136"/>
      <c r="L216" s="136"/>
      <c r="N216" s="137"/>
      <c r="O216" s="138"/>
      <c r="P216" s="138"/>
      <c r="Q216" s="139"/>
      <c r="R216" s="161"/>
      <c r="S216" s="135"/>
    </row>
    <row r="217" spans="1:19" s="133" customFormat="1" x14ac:dyDescent="0.3">
      <c r="A217" s="132"/>
      <c r="C217" s="51" t="s">
        <v>138</v>
      </c>
      <c r="D217" s="51"/>
      <c r="E217" s="118"/>
      <c r="F217" s="118"/>
      <c r="G217" s="119"/>
      <c r="H217" s="118">
        <f>COUNTIF(E213:E215,"*w*")</f>
        <v>0</v>
      </c>
      <c r="K217" s="136"/>
      <c r="L217" s="136"/>
      <c r="N217" s="137"/>
      <c r="O217" s="138"/>
      <c r="P217" s="138"/>
      <c r="Q217" s="139"/>
      <c r="R217" s="161"/>
      <c r="S217" s="135"/>
    </row>
    <row r="218" spans="1:19" s="133" customFormat="1" x14ac:dyDescent="0.3">
      <c r="A218" s="132"/>
      <c r="C218" s="51" t="s">
        <v>139</v>
      </c>
      <c r="D218" s="51"/>
      <c r="E218" s="118"/>
      <c r="F218" s="118"/>
      <c r="G218" s="119"/>
      <c r="H218" s="118">
        <f>COUNTIF(E213:E215,"*P*")</f>
        <v>0</v>
      </c>
      <c r="K218" s="136"/>
      <c r="L218" s="136"/>
      <c r="N218" s="137"/>
      <c r="O218" s="138"/>
      <c r="P218" s="138"/>
      <c r="Q218" s="139"/>
      <c r="R218" s="161"/>
      <c r="S218" s="135"/>
    </row>
    <row r="219" spans="1:19" s="133" customFormat="1" x14ac:dyDescent="0.3">
      <c r="A219" s="132"/>
      <c r="C219" s="51" t="s">
        <v>140</v>
      </c>
      <c r="D219" s="51"/>
      <c r="E219" s="118"/>
      <c r="F219" s="118"/>
      <c r="G219" s="119"/>
      <c r="H219" s="118">
        <f>COUNTIF(E213:E215,"*L*")</f>
        <v>0</v>
      </c>
      <c r="K219" s="136"/>
      <c r="L219" s="136"/>
      <c r="N219" s="137"/>
      <c r="O219" s="138"/>
      <c r="P219" s="138"/>
      <c r="Q219" s="139"/>
      <c r="R219" s="161"/>
      <c r="S219" s="135"/>
    </row>
    <row r="220" spans="1:19" s="133" customFormat="1" x14ac:dyDescent="0.3">
      <c r="A220" s="132"/>
      <c r="C220" s="51" t="s">
        <v>141</v>
      </c>
      <c r="D220" s="51"/>
      <c r="E220" s="118"/>
      <c r="F220" s="118"/>
      <c r="G220" s="119"/>
      <c r="H220" s="118">
        <f>COUNTIF(E213:E215,"*V*")</f>
        <v>0</v>
      </c>
      <c r="K220" s="136"/>
      <c r="L220" s="136"/>
      <c r="N220" s="137"/>
      <c r="O220" s="138"/>
      <c r="P220" s="138"/>
      <c r="Q220" s="139"/>
      <c r="R220" s="161"/>
      <c r="S220" s="135"/>
    </row>
    <row r="221" spans="1:19" s="133" customFormat="1" x14ac:dyDescent="0.3">
      <c r="A221" s="132"/>
      <c r="C221" s="51"/>
      <c r="D221" s="51"/>
      <c r="E221" s="118"/>
      <c r="F221" s="118"/>
      <c r="G221" s="119"/>
      <c r="H221" s="118"/>
      <c r="K221" s="136"/>
      <c r="L221" s="136"/>
      <c r="N221" s="137"/>
      <c r="O221" s="138"/>
      <c r="P221" s="138"/>
      <c r="Q221" s="139"/>
      <c r="R221" s="161"/>
      <c r="S221" s="135"/>
    </row>
    <row r="222" spans="1:19" s="133" customFormat="1" x14ac:dyDescent="0.3">
      <c r="A222" s="132"/>
      <c r="C222" s="51" t="s">
        <v>142</v>
      </c>
      <c r="D222" s="51"/>
      <c r="E222" s="118"/>
      <c r="F222" s="118"/>
      <c r="G222" s="119"/>
      <c r="H222" s="118">
        <f>COUNTIF(E213:E215,"*D*")</f>
        <v>0</v>
      </c>
      <c r="K222" s="136"/>
      <c r="L222" s="136"/>
      <c r="N222" s="137"/>
      <c r="O222" s="138"/>
      <c r="P222" s="138"/>
      <c r="Q222" s="139"/>
      <c r="R222" s="161"/>
      <c r="S222" s="135"/>
    </row>
    <row r="223" spans="1:19" s="133" customFormat="1" x14ac:dyDescent="0.3">
      <c r="A223" s="132"/>
      <c r="C223" s="51" t="s">
        <v>143</v>
      </c>
      <c r="D223" s="51"/>
      <c r="E223" s="118"/>
      <c r="F223" s="118"/>
      <c r="G223" s="119"/>
      <c r="H223" s="118">
        <f>COUNTIF(E213:E215,"*S*")</f>
        <v>0</v>
      </c>
      <c r="K223" s="136"/>
      <c r="L223" s="136"/>
      <c r="N223" s="137"/>
      <c r="O223" s="138"/>
      <c r="P223" s="138"/>
      <c r="Q223" s="139"/>
      <c r="R223" s="161"/>
      <c r="S223" s="135"/>
    </row>
    <row r="224" spans="1:19" s="133" customFormat="1" x14ac:dyDescent="0.3">
      <c r="A224" s="132"/>
      <c r="C224" s="51" t="s">
        <v>144</v>
      </c>
      <c r="D224" s="51"/>
      <c r="E224" s="118"/>
      <c r="F224" s="118"/>
      <c r="G224" s="119"/>
      <c r="H224" s="118">
        <f>COUNTIF(E213:E215,"*K*")</f>
        <v>0</v>
      </c>
      <c r="K224" s="136"/>
      <c r="L224" s="136"/>
      <c r="N224" s="137"/>
      <c r="O224" s="138"/>
      <c r="P224" s="138"/>
      <c r="Q224" s="139"/>
      <c r="R224" s="161"/>
      <c r="S224" s="135"/>
    </row>
    <row r="225" spans="1:19" s="133" customFormat="1" x14ac:dyDescent="0.3">
      <c r="A225" s="132"/>
      <c r="C225" s="51" t="s">
        <v>145</v>
      </c>
      <c r="D225" s="51"/>
      <c r="E225" s="118"/>
      <c r="F225" s="118"/>
      <c r="G225" s="119"/>
      <c r="H225" s="118">
        <f>COUNTIF(E213:E215,"*Z*")</f>
        <v>0</v>
      </c>
      <c r="K225" s="136"/>
      <c r="L225" s="136"/>
      <c r="N225" s="137"/>
      <c r="O225" s="138"/>
      <c r="P225" s="138"/>
      <c r="Q225" s="139"/>
      <c r="R225" s="161"/>
      <c r="S225" s="135"/>
    </row>
    <row r="226" spans="1:19" s="133" customFormat="1" x14ac:dyDescent="0.3">
      <c r="A226" s="132"/>
      <c r="C226" s="144"/>
      <c r="D226" s="144"/>
      <c r="G226" s="119"/>
      <c r="K226" s="136"/>
      <c r="L226" s="136"/>
      <c r="N226" s="137"/>
      <c r="O226" s="138"/>
      <c r="P226" s="138"/>
      <c r="Q226" s="139"/>
      <c r="R226" s="161"/>
      <c r="S226" s="135"/>
    </row>
    <row r="227" spans="1:19" s="133" customFormat="1" x14ac:dyDescent="0.3">
      <c r="A227" s="140" t="s">
        <v>186</v>
      </c>
      <c r="G227" s="119"/>
      <c r="H227" s="134"/>
      <c r="K227" s="136"/>
      <c r="L227" s="136"/>
      <c r="N227" s="137"/>
      <c r="O227" s="138"/>
      <c r="P227" s="138"/>
      <c r="Q227" s="139"/>
      <c r="R227" s="161"/>
      <c r="S227" s="135"/>
    </row>
    <row r="228" spans="1:19" s="133" customFormat="1" x14ac:dyDescent="0.3">
      <c r="A228" s="132"/>
      <c r="C228" s="144"/>
      <c r="D228" s="144"/>
      <c r="G228" s="119"/>
      <c r="K228" s="136"/>
      <c r="L228" s="136"/>
      <c r="N228" s="137"/>
      <c r="O228" s="138"/>
      <c r="P228" s="138"/>
      <c r="Q228" s="139"/>
      <c r="R228" s="161"/>
      <c r="S228" s="135"/>
    </row>
    <row r="229" spans="1:19" s="133" customFormat="1" x14ac:dyDescent="0.3">
      <c r="A229" s="132"/>
      <c r="C229" s="144"/>
      <c r="D229" s="144"/>
      <c r="G229" s="119"/>
      <c r="K229" s="136"/>
      <c r="L229" s="136"/>
      <c r="N229" s="137"/>
      <c r="O229" s="138"/>
      <c r="P229" s="138"/>
      <c r="Q229" s="139"/>
      <c r="R229" s="161"/>
      <c r="S229" s="135"/>
    </row>
    <row r="230" spans="1:19" s="133" customFormat="1" x14ac:dyDescent="0.3">
      <c r="A230" s="132"/>
      <c r="C230" s="144"/>
      <c r="D230" s="144"/>
      <c r="G230" s="119"/>
      <c r="K230" s="136"/>
      <c r="L230" s="136"/>
      <c r="N230" s="137"/>
      <c r="O230" s="138"/>
      <c r="P230" s="138"/>
      <c r="Q230" s="139"/>
      <c r="R230" s="161"/>
      <c r="S230" s="135"/>
    </row>
    <row r="231" spans="1:19" s="133" customFormat="1" x14ac:dyDescent="0.3">
      <c r="A231" s="132"/>
      <c r="C231" s="51" t="s">
        <v>137</v>
      </c>
      <c r="D231" s="51"/>
      <c r="E231" s="118"/>
      <c r="F231" s="118"/>
      <c r="G231" s="119"/>
      <c r="H231" s="118">
        <f>COUNTIF(T228:T230,"*áno*")</f>
        <v>0</v>
      </c>
      <c r="K231" s="136"/>
      <c r="L231" s="136"/>
      <c r="N231" s="137"/>
      <c r="O231" s="138"/>
      <c r="P231" s="138"/>
      <c r="Q231" s="139"/>
      <c r="R231" s="161"/>
      <c r="S231" s="135"/>
    </row>
    <row r="232" spans="1:19" s="133" customFormat="1" x14ac:dyDescent="0.3">
      <c r="A232" s="132"/>
      <c r="C232" s="51" t="s">
        <v>138</v>
      </c>
      <c r="D232" s="51"/>
      <c r="E232" s="118"/>
      <c r="F232" s="118"/>
      <c r="G232" s="119"/>
      <c r="H232" s="118">
        <f>COUNTIF(E228:E230,"*w*")</f>
        <v>0</v>
      </c>
      <c r="K232" s="136"/>
      <c r="L232" s="136"/>
      <c r="N232" s="137"/>
      <c r="O232" s="138"/>
      <c r="P232" s="138"/>
      <c r="Q232" s="139"/>
      <c r="R232" s="161"/>
      <c r="S232" s="135"/>
    </row>
    <row r="233" spans="1:19" s="133" customFormat="1" x14ac:dyDescent="0.3">
      <c r="A233" s="132"/>
      <c r="C233" s="51" t="s">
        <v>139</v>
      </c>
      <c r="D233" s="51"/>
      <c r="E233" s="118"/>
      <c r="F233" s="118"/>
      <c r="G233" s="119"/>
      <c r="H233" s="118">
        <f>COUNTIF(E228:E230,"*P*")</f>
        <v>0</v>
      </c>
      <c r="K233" s="136"/>
      <c r="L233" s="136"/>
      <c r="N233" s="137"/>
      <c r="O233" s="138"/>
      <c r="P233" s="138"/>
      <c r="Q233" s="139"/>
      <c r="R233" s="161"/>
      <c r="S233" s="135"/>
    </row>
    <row r="234" spans="1:19" s="133" customFormat="1" x14ac:dyDescent="0.3">
      <c r="A234" s="132"/>
      <c r="C234" s="51" t="s">
        <v>140</v>
      </c>
      <c r="D234" s="51"/>
      <c r="E234" s="118"/>
      <c r="F234" s="118"/>
      <c r="G234" s="119"/>
      <c r="H234" s="118">
        <f>COUNTIF(E228:E230,"*L*")</f>
        <v>0</v>
      </c>
      <c r="K234" s="136"/>
      <c r="L234" s="136"/>
      <c r="N234" s="137"/>
      <c r="O234" s="138"/>
      <c r="P234" s="138"/>
      <c r="Q234" s="139"/>
      <c r="R234" s="161"/>
      <c r="S234" s="135"/>
    </row>
    <row r="235" spans="1:19" s="133" customFormat="1" x14ac:dyDescent="0.3">
      <c r="A235" s="132"/>
      <c r="C235" s="51" t="s">
        <v>141</v>
      </c>
      <c r="D235" s="51"/>
      <c r="E235" s="118"/>
      <c r="F235" s="118"/>
      <c r="G235" s="119"/>
      <c r="H235" s="118">
        <f>COUNTIF(E228:E230,"*V*")</f>
        <v>0</v>
      </c>
      <c r="K235" s="136"/>
      <c r="L235" s="136"/>
      <c r="N235" s="137"/>
      <c r="O235" s="138"/>
      <c r="P235" s="138"/>
      <c r="Q235" s="139"/>
      <c r="R235" s="161"/>
      <c r="S235" s="135"/>
    </row>
    <row r="236" spans="1:19" s="133" customFormat="1" x14ac:dyDescent="0.3">
      <c r="A236" s="132"/>
      <c r="C236" s="51"/>
      <c r="D236" s="51"/>
      <c r="E236" s="118"/>
      <c r="F236" s="118"/>
      <c r="G236" s="119"/>
      <c r="H236" s="118"/>
      <c r="K236" s="136"/>
      <c r="L236" s="136"/>
      <c r="N236" s="137"/>
      <c r="O236" s="138"/>
      <c r="P236" s="138"/>
      <c r="Q236" s="139"/>
      <c r="R236" s="161"/>
      <c r="S236" s="135"/>
    </row>
    <row r="237" spans="1:19" s="133" customFormat="1" x14ac:dyDescent="0.3">
      <c r="A237" s="132"/>
      <c r="C237" s="51" t="s">
        <v>142</v>
      </c>
      <c r="D237" s="51"/>
      <c r="E237" s="118"/>
      <c r="F237" s="118"/>
      <c r="G237" s="119"/>
      <c r="H237" s="118">
        <f>COUNTIF(E228:E230,"*D*")</f>
        <v>0</v>
      </c>
      <c r="K237" s="136"/>
      <c r="L237" s="136"/>
      <c r="N237" s="137"/>
      <c r="O237" s="138"/>
      <c r="P237" s="138"/>
      <c r="Q237" s="139"/>
      <c r="R237" s="161"/>
      <c r="S237" s="135"/>
    </row>
    <row r="238" spans="1:19" s="133" customFormat="1" x14ac:dyDescent="0.3">
      <c r="A238" s="132"/>
      <c r="C238" s="51" t="s">
        <v>143</v>
      </c>
      <c r="D238" s="51"/>
      <c r="E238" s="118"/>
      <c r="F238" s="118"/>
      <c r="G238" s="119"/>
      <c r="H238" s="118">
        <f>COUNTIF(E228:E230,"*S*")</f>
        <v>0</v>
      </c>
      <c r="K238" s="136"/>
      <c r="L238" s="136"/>
      <c r="N238" s="137"/>
      <c r="O238" s="138"/>
      <c r="P238" s="138"/>
      <c r="Q238" s="139"/>
      <c r="R238" s="161"/>
      <c r="S238" s="135"/>
    </row>
    <row r="239" spans="1:19" s="133" customFormat="1" x14ac:dyDescent="0.3">
      <c r="A239" s="132"/>
      <c r="C239" s="51" t="s">
        <v>144</v>
      </c>
      <c r="D239" s="51"/>
      <c r="E239" s="118"/>
      <c r="F239" s="118"/>
      <c r="G239" s="119"/>
      <c r="H239" s="118">
        <f>COUNTIF(E228:E230,"*K*")</f>
        <v>0</v>
      </c>
      <c r="K239" s="136"/>
      <c r="L239" s="136"/>
      <c r="N239" s="137"/>
      <c r="O239" s="138"/>
      <c r="P239" s="138"/>
      <c r="Q239" s="139"/>
      <c r="R239" s="161"/>
      <c r="S239" s="135"/>
    </row>
    <row r="240" spans="1:19" s="133" customFormat="1" x14ac:dyDescent="0.3">
      <c r="A240" s="132"/>
      <c r="C240" s="51" t="s">
        <v>145</v>
      </c>
      <c r="D240" s="51"/>
      <c r="E240" s="118"/>
      <c r="F240" s="118"/>
      <c r="G240" s="119"/>
      <c r="H240" s="118">
        <f>COUNTIF(E228:E230,"*Z*")</f>
        <v>0</v>
      </c>
      <c r="K240" s="136"/>
      <c r="L240" s="136"/>
      <c r="N240" s="137"/>
      <c r="O240" s="138"/>
      <c r="P240" s="138"/>
      <c r="Q240" s="139"/>
      <c r="R240" s="161"/>
      <c r="S240" s="135"/>
    </row>
    <row r="241" spans="1:19" s="133" customFormat="1" x14ac:dyDescent="0.3">
      <c r="A241" s="132"/>
      <c r="C241" s="144"/>
      <c r="D241" s="144"/>
      <c r="G241" s="119"/>
      <c r="K241" s="136"/>
      <c r="L241" s="136"/>
      <c r="N241" s="137"/>
      <c r="O241" s="138"/>
      <c r="P241" s="138"/>
      <c r="Q241" s="139"/>
      <c r="R241" s="161"/>
      <c r="S241" s="135"/>
    </row>
    <row r="242" spans="1:19" s="133" customFormat="1" ht="15" thickBot="1" x14ac:dyDescent="0.35">
      <c r="A242" s="132"/>
      <c r="G242" s="119"/>
      <c r="H242" s="134"/>
      <c r="K242" s="136"/>
      <c r="L242" s="136"/>
      <c r="N242" s="137"/>
      <c r="O242" s="138"/>
      <c r="P242" s="138"/>
      <c r="Q242" s="139"/>
      <c r="R242" s="161"/>
      <c r="S242" s="135"/>
    </row>
    <row r="243" spans="1:19" s="80" customFormat="1" ht="15" thickBot="1" x14ac:dyDescent="0.35">
      <c r="A243" s="142"/>
      <c r="G243" s="149"/>
      <c r="S243" s="162"/>
    </row>
    <row r="245" spans="1:19" x14ac:dyDescent="0.3">
      <c r="A245" s="143" t="s">
        <v>77</v>
      </c>
      <c r="C245" s="51" t="s">
        <v>137</v>
      </c>
      <c r="D245" s="51"/>
      <c r="H245" s="118">
        <f>COUNTIF(T33:T242,"*áno*")</f>
        <v>35</v>
      </c>
    </row>
    <row r="246" spans="1:19" x14ac:dyDescent="0.3">
      <c r="A246" s="143"/>
      <c r="C246" s="51" t="s">
        <v>138</v>
      </c>
      <c r="D246" s="51"/>
      <c r="H246" s="118">
        <f>COUNTIF(E33:E242,"*w*")</f>
        <v>28</v>
      </c>
    </row>
    <row r="247" spans="1:19" x14ac:dyDescent="0.3">
      <c r="A247" s="143"/>
      <c r="C247" s="51" t="s">
        <v>139</v>
      </c>
      <c r="D247" s="51"/>
      <c r="H247" s="118">
        <f>COUNTIF(E33:E242,"*P*")</f>
        <v>21</v>
      </c>
    </row>
    <row r="248" spans="1:19" x14ac:dyDescent="0.3">
      <c r="A248" s="143"/>
      <c r="C248" s="51" t="s">
        <v>140</v>
      </c>
      <c r="D248" s="51"/>
      <c r="H248" s="118">
        <f>COUNTIF(E33:E242,"*L*")</f>
        <v>4</v>
      </c>
    </row>
    <row r="249" spans="1:19" x14ac:dyDescent="0.3">
      <c r="A249" s="143"/>
      <c r="C249" s="51" t="s">
        <v>141</v>
      </c>
      <c r="D249" s="51"/>
      <c r="H249" s="118">
        <f>COUNTIF(E33:E242,"*V*")</f>
        <v>10</v>
      </c>
    </row>
    <row r="250" spans="1:19" x14ac:dyDescent="0.3">
      <c r="A250" s="143"/>
      <c r="C250" s="51"/>
      <c r="D250" s="51"/>
    </row>
    <row r="251" spans="1:19" x14ac:dyDescent="0.3">
      <c r="A251" s="51"/>
      <c r="C251" s="51" t="s">
        <v>142</v>
      </c>
      <c r="D251" s="51"/>
      <c r="H251" s="118">
        <f>COUNTIF(E33:E242,"*D*")</f>
        <v>29</v>
      </c>
    </row>
    <row r="252" spans="1:19" x14ac:dyDescent="0.3">
      <c r="A252" s="51"/>
      <c r="C252" s="51" t="s">
        <v>143</v>
      </c>
      <c r="D252" s="51"/>
      <c r="H252" s="118">
        <f>COUNTIF(E33:E242,"*S*")</f>
        <v>0</v>
      </c>
    </row>
    <row r="253" spans="1:19" x14ac:dyDescent="0.3">
      <c r="A253" s="51"/>
      <c r="C253" s="51" t="s">
        <v>144</v>
      </c>
      <c r="D253" s="51"/>
      <c r="H253" s="118">
        <f>COUNTIF(E33:E242,"*K*")</f>
        <v>3</v>
      </c>
    </row>
    <row r="254" spans="1:19" x14ac:dyDescent="0.3">
      <c r="A254" s="144"/>
      <c r="C254" s="51" t="s">
        <v>145</v>
      </c>
      <c r="D254" s="51"/>
      <c r="H254" s="118">
        <f>COUNTIF(E33:E242,"*Z*")</f>
        <v>23</v>
      </c>
    </row>
    <row r="256" spans="1:19" s="145" customFormat="1" ht="15" customHeight="1" x14ac:dyDescent="0.3">
      <c r="A256" s="450" t="s">
        <v>146</v>
      </c>
      <c r="B256" s="451"/>
      <c r="C256" s="475" t="s">
        <v>48</v>
      </c>
      <c r="D256" s="476"/>
      <c r="E256" s="477"/>
      <c r="F256" s="456" t="s">
        <v>147</v>
      </c>
      <c r="G256" s="472"/>
      <c r="H256" s="457"/>
      <c r="I256" s="458" t="s">
        <v>45</v>
      </c>
      <c r="J256" s="459"/>
      <c r="K256" s="460" t="s">
        <v>46</v>
      </c>
      <c r="L256" s="461"/>
      <c r="M256" s="462" t="s">
        <v>47</v>
      </c>
      <c r="N256" s="463"/>
      <c r="O256" s="446" t="s">
        <v>148</v>
      </c>
      <c r="P256" s="447"/>
      <c r="Q256" s="448" t="s">
        <v>149</v>
      </c>
      <c r="R256" s="449"/>
      <c r="S256" s="163"/>
    </row>
    <row r="257" spans="1:20" s="143" customFormat="1" ht="15" customHeight="1" x14ac:dyDescent="0.3">
      <c r="A257" s="450" t="s">
        <v>150</v>
      </c>
      <c r="B257" s="451"/>
      <c r="C257" s="454" t="s">
        <v>151</v>
      </c>
      <c r="D257" s="471"/>
      <c r="E257" s="455"/>
      <c r="F257" s="456" t="s">
        <v>152</v>
      </c>
      <c r="G257" s="472"/>
      <c r="H257" s="457"/>
      <c r="I257" s="458" t="s">
        <v>153</v>
      </c>
      <c r="J257" s="459"/>
      <c r="K257" s="460" t="s">
        <v>154</v>
      </c>
      <c r="L257" s="461"/>
      <c r="M257" s="462" t="s">
        <v>155</v>
      </c>
      <c r="N257" s="463"/>
      <c r="O257" s="446" t="s">
        <v>156</v>
      </c>
      <c r="P257" s="447"/>
      <c r="Q257" s="448" t="s">
        <v>157</v>
      </c>
      <c r="R257" s="449"/>
      <c r="S257" s="164"/>
      <c r="T257" s="359"/>
    </row>
    <row r="258" spans="1:20" s="143" customFormat="1" x14ac:dyDescent="0.3">
      <c r="A258" s="450" t="s">
        <v>49</v>
      </c>
      <c r="B258" s="451"/>
      <c r="C258" s="98" t="s">
        <v>78</v>
      </c>
      <c r="D258" s="293"/>
      <c r="E258" s="454" t="s">
        <v>51</v>
      </c>
      <c r="F258" s="455"/>
      <c r="G258" s="341"/>
      <c r="H258" s="456" t="s">
        <v>52</v>
      </c>
      <c r="I258" s="457"/>
      <c r="J258" s="458" t="s">
        <v>53</v>
      </c>
      <c r="K258" s="459"/>
      <c r="L258" s="464" t="s">
        <v>54</v>
      </c>
      <c r="M258" s="465"/>
      <c r="N258" s="460" t="s">
        <v>55</v>
      </c>
      <c r="O258" s="461"/>
      <c r="P258" s="462" t="s">
        <v>56</v>
      </c>
      <c r="Q258" s="463"/>
      <c r="R258" s="446" t="s">
        <v>57</v>
      </c>
      <c r="S258" s="447"/>
      <c r="T258" s="360" t="s">
        <v>58</v>
      </c>
    </row>
    <row r="259" spans="1:20" s="143" customFormat="1" x14ac:dyDescent="0.3">
      <c r="A259" s="450" t="s">
        <v>50</v>
      </c>
      <c r="B259" s="451"/>
      <c r="C259" s="98" t="s">
        <v>79</v>
      </c>
      <c r="D259" s="293"/>
      <c r="E259" s="454" t="s">
        <v>59</v>
      </c>
      <c r="F259" s="455"/>
      <c r="G259" s="341"/>
      <c r="H259" s="456" t="s">
        <v>60</v>
      </c>
      <c r="I259" s="457"/>
      <c r="J259" s="458" t="s">
        <v>61</v>
      </c>
      <c r="K259" s="459"/>
      <c r="L259" s="460" t="s">
        <v>62</v>
      </c>
      <c r="M259" s="461"/>
      <c r="N259" s="462" t="s">
        <v>82</v>
      </c>
      <c r="O259" s="463"/>
      <c r="P259" s="446" t="s">
        <v>83</v>
      </c>
      <c r="Q259" s="447"/>
      <c r="R259" s="448" t="s">
        <v>81</v>
      </c>
      <c r="S259" s="449"/>
      <c r="T259" s="359"/>
    </row>
    <row r="260" spans="1:20" s="143" customFormat="1" x14ac:dyDescent="0.3">
      <c r="A260" s="450" t="s">
        <v>71</v>
      </c>
      <c r="B260" s="451"/>
      <c r="C260" s="98" t="s">
        <v>78</v>
      </c>
      <c r="D260" s="293"/>
      <c r="E260" s="454" t="s">
        <v>52</v>
      </c>
      <c r="F260" s="455"/>
      <c r="G260" s="341"/>
      <c r="H260" s="456" t="s">
        <v>53</v>
      </c>
      <c r="I260" s="457"/>
      <c r="J260" s="458" t="s">
        <v>72</v>
      </c>
      <c r="K260" s="459"/>
      <c r="L260" s="460" t="s">
        <v>73</v>
      </c>
      <c r="M260" s="461"/>
      <c r="N260" s="462" t="s">
        <v>75</v>
      </c>
      <c r="O260" s="463"/>
      <c r="P260" s="446" t="s">
        <v>74</v>
      </c>
      <c r="Q260" s="447"/>
      <c r="R260" s="448" t="s">
        <v>76</v>
      </c>
      <c r="S260" s="449"/>
      <c r="T260" s="359"/>
    </row>
    <row r="261" spans="1:20" s="143" customFormat="1" x14ac:dyDescent="0.3">
      <c r="A261" s="450" t="s">
        <v>70</v>
      </c>
      <c r="B261" s="451"/>
      <c r="C261" s="98" t="s">
        <v>80</v>
      </c>
      <c r="D261" s="293"/>
      <c r="E261" s="452" t="s">
        <v>63</v>
      </c>
      <c r="F261" s="453"/>
      <c r="G261" s="342"/>
      <c r="H261" s="454" t="s">
        <v>64</v>
      </c>
      <c r="I261" s="455"/>
      <c r="J261" s="456" t="s">
        <v>65</v>
      </c>
      <c r="K261" s="457"/>
      <c r="L261" s="458" t="s">
        <v>158</v>
      </c>
      <c r="M261" s="459"/>
      <c r="N261" s="460" t="s">
        <v>66</v>
      </c>
      <c r="O261" s="461"/>
      <c r="P261" s="462" t="s">
        <v>67</v>
      </c>
      <c r="Q261" s="463"/>
      <c r="R261" s="446" t="s">
        <v>68</v>
      </c>
      <c r="S261" s="447"/>
      <c r="T261" s="361" t="s">
        <v>69</v>
      </c>
    </row>
    <row r="262" spans="1:20" s="145" customFormat="1" ht="15" customHeight="1" x14ac:dyDescent="0.3">
      <c r="A262" s="428" t="s">
        <v>159</v>
      </c>
      <c r="B262" s="429"/>
      <c r="C262" s="146" t="s">
        <v>160</v>
      </c>
      <c r="D262" s="294"/>
      <c r="E262" s="440" t="s">
        <v>161</v>
      </c>
      <c r="F262" s="441"/>
      <c r="G262" s="343"/>
      <c r="H262" s="442" t="s">
        <v>162</v>
      </c>
      <c r="I262" s="443"/>
      <c r="J262" s="444" t="s">
        <v>163</v>
      </c>
      <c r="K262" s="445"/>
      <c r="L262" s="430" t="s">
        <v>164</v>
      </c>
      <c r="M262" s="431"/>
      <c r="N262" s="432" t="s">
        <v>165</v>
      </c>
      <c r="O262" s="433"/>
      <c r="P262" s="424" t="s">
        <v>166</v>
      </c>
      <c r="Q262" s="425"/>
      <c r="R262" s="426" t="s">
        <v>167</v>
      </c>
      <c r="S262" s="427"/>
    </row>
    <row r="263" spans="1:20" ht="15" customHeight="1" x14ac:dyDescent="0.3">
      <c r="A263" s="428" t="s">
        <v>129</v>
      </c>
      <c r="B263" s="429"/>
      <c r="C263" s="147" t="s">
        <v>168</v>
      </c>
      <c r="D263" s="356"/>
      <c r="E263" s="430" t="s">
        <v>169</v>
      </c>
      <c r="F263" s="431"/>
      <c r="G263" s="344"/>
      <c r="H263" s="432" t="s">
        <v>170</v>
      </c>
      <c r="I263" s="433"/>
      <c r="J263" s="424" t="s">
        <v>171</v>
      </c>
      <c r="K263" s="425"/>
      <c r="L263" s="426" t="s">
        <v>172</v>
      </c>
      <c r="M263" s="427"/>
      <c r="N263" s="434" t="s">
        <v>173</v>
      </c>
      <c r="O263" s="435"/>
      <c r="P263" s="436" t="s">
        <v>174</v>
      </c>
      <c r="Q263" s="437"/>
      <c r="R263" s="438" t="s">
        <v>175</v>
      </c>
      <c r="S263" s="439"/>
    </row>
  </sheetData>
  <mergeCells count="73">
    <mergeCell ref="U1:U2"/>
    <mergeCell ref="A256:B256"/>
    <mergeCell ref="C256:E256"/>
    <mergeCell ref="F256:H256"/>
    <mergeCell ref="I256:J256"/>
    <mergeCell ref="K256:L256"/>
    <mergeCell ref="M256:N256"/>
    <mergeCell ref="O256:P256"/>
    <mergeCell ref="A1:A2"/>
    <mergeCell ref="B1:B2"/>
    <mergeCell ref="E1:H1"/>
    <mergeCell ref="K1:M1"/>
    <mergeCell ref="I1:J1"/>
    <mergeCell ref="Q256:R256"/>
    <mergeCell ref="C1:D1"/>
    <mergeCell ref="A257:B257"/>
    <mergeCell ref="C257:E257"/>
    <mergeCell ref="F257:H257"/>
    <mergeCell ref="I257:J257"/>
    <mergeCell ref="K257:L257"/>
    <mergeCell ref="M257:N257"/>
    <mergeCell ref="O257:P257"/>
    <mergeCell ref="Q257:R257"/>
    <mergeCell ref="N1:Q1"/>
    <mergeCell ref="R1:T1"/>
    <mergeCell ref="P258:Q258"/>
    <mergeCell ref="R258:S258"/>
    <mergeCell ref="A259:B259"/>
    <mergeCell ref="E259:F259"/>
    <mergeCell ref="H259:I259"/>
    <mergeCell ref="J259:K259"/>
    <mergeCell ref="L259:M259"/>
    <mergeCell ref="N259:O259"/>
    <mergeCell ref="P259:Q259"/>
    <mergeCell ref="R259:S259"/>
    <mergeCell ref="A258:B258"/>
    <mergeCell ref="E258:F258"/>
    <mergeCell ref="H258:I258"/>
    <mergeCell ref="J258:K258"/>
    <mergeCell ref="L258:M258"/>
    <mergeCell ref="N258:O258"/>
    <mergeCell ref="P260:Q260"/>
    <mergeCell ref="R260:S260"/>
    <mergeCell ref="A261:B261"/>
    <mergeCell ref="E261:F261"/>
    <mergeCell ref="H261:I261"/>
    <mergeCell ref="J261:K261"/>
    <mergeCell ref="L261:M261"/>
    <mergeCell ref="N261:O261"/>
    <mergeCell ref="P261:Q261"/>
    <mergeCell ref="R261:S261"/>
    <mergeCell ref="A260:B260"/>
    <mergeCell ref="E260:F260"/>
    <mergeCell ref="H260:I260"/>
    <mergeCell ref="J260:K260"/>
    <mergeCell ref="L260:M260"/>
    <mergeCell ref="N260:O260"/>
    <mergeCell ref="P262:Q262"/>
    <mergeCell ref="R262:S262"/>
    <mergeCell ref="A263:B263"/>
    <mergeCell ref="E263:F263"/>
    <mergeCell ref="H263:I263"/>
    <mergeCell ref="J263:K263"/>
    <mergeCell ref="L263:M263"/>
    <mergeCell ref="N263:O263"/>
    <mergeCell ref="P263:Q263"/>
    <mergeCell ref="R263:S263"/>
    <mergeCell ref="A262:B262"/>
    <mergeCell ref="E262:F262"/>
    <mergeCell ref="H262:I262"/>
    <mergeCell ref="J262:K262"/>
    <mergeCell ref="L262:M262"/>
    <mergeCell ref="N262:O262"/>
  </mergeCells>
  <conditionalFormatting sqref="C8:D11">
    <cfRule type="expression" dxfId="125" priority="39">
      <formula>$A8="SUMÁCIA:"</formula>
    </cfRule>
  </conditionalFormatting>
  <conditionalFormatting sqref="C12:D13">
    <cfRule type="expression" dxfId="124" priority="37">
      <formula>$E12="VB"</formula>
    </cfRule>
    <cfRule type="expression" dxfId="123" priority="38">
      <formula>#REF!="SUMÁCIA:"</formula>
    </cfRule>
  </conditionalFormatting>
  <conditionalFormatting sqref="C14:D31 C173:D241 A245:A254 C251:D254">
    <cfRule type="expression" dxfId="122" priority="122">
      <formula>$A14="SUMÁCIA:"</formula>
    </cfRule>
  </conditionalFormatting>
  <conditionalFormatting sqref="C15:D31 C174:D241 A252:A254 C252:D254">
    <cfRule type="expression" dxfId="121" priority="121">
      <formula>$E15="VB"</formula>
    </cfRule>
  </conditionalFormatting>
  <conditionalFormatting sqref="C26:D27">
    <cfRule type="expression" dxfId="120" priority="35">
      <formula>$E26="VB"</formula>
    </cfRule>
    <cfRule type="expression" dxfId="119" priority="36">
      <formula>#REF!="SUMÁCIA:"</formula>
    </cfRule>
  </conditionalFormatting>
  <conditionalFormatting sqref="C37:D40">
    <cfRule type="expression" dxfId="118" priority="64">
      <formula>$A37="SUMÁCIA:"</formula>
    </cfRule>
  </conditionalFormatting>
  <conditionalFormatting sqref="C41:D42">
    <cfRule type="expression" dxfId="117" priority="61">
      <formula>#REF!="SUMÁCIA:"</formula>
    </cfRule>
    <cfRule type="expression" dxfId="116" priority="60">
      <formula>$E41="VB"</formula>
    </cfRule>
  </conditionalFormatting>
  <conditionalFormatting sqref="C43:D46">
    <cfRule type="expression" dxfId="115" priority="63">
      <formula>$A43="SUMÁCIA:"</formula>
    </cfRule>
  </conditionalFormatting>
  <conditionalFormatting sqref="C44:D46">
    <cfRule type="expression" dxfId="114" priority="62">
      <formula>$E44="VB"</formula>
    </cfRule>
  </conditionalFormatting>
  <conditionalFormatting sqref="C55:D58">
    <cfRule type="expression" dxfId="113" priority="59">
      <formula>$A55="SUMÁCIA:"</formula>
    </cfRule>
  </conditionalFormatting>
  <conditionalFormatting sqref="C59:D60">
    <cfRule type="expression" dxfId="112" priority="56">
      <formula>#REF!="SUMÁCIA:"</formula>
    </cfRule>
    <cfRule type="expression" dxfId="111" priority="55">
      <formula>$E59="VB"</formula>
    </cfRule>
  </conditionalFormatting>
  <conditionalFormatting sqref="C61:D64">
    <cfRule type="expression" dxfId="110" priority="58">
      <formula>$A61="SUMÁCIA:"</formula>
    </cfRule>
  </conditionalFormatting>
  <conditionalFormatting sqref="C62:D64">
    <cfRule type="expression" dxfId="109" priority="57">
      <formula>$E62="VB"</formula>
    </cfRule>
  </conditionalFormatting>
  <conditionalFormatting sqref="C75:D78">
    <cfRule type="expression" dxfId="108" priority="54">
      <formula>$A75="SUMÁCIA:"</formula>
    </cfRule>
  </conditionalFormatting>
  <conditionalFormatting sqref="C79:D80">
    <cfRule type="expression" dxfId="107" priority="51">
      <formula>#REF!="SUMÁCIA:"</formula>
    </cfRule>
    <cfRule type="expression" dxfId="106" priority="50">
      <formula>$E79="VB"</formula>
    </cfRule>
  </conditionalFormatting>
  <conditionalFormatting sqref="C81:D84">
    <cfRule type="expression" dxfId="105" priority="53">
      <formula>$A81="SUMÁCIA:"</formula>
    </cfRule>
  </conditionalFormatting>
  <conditionalFormatting sqref="C82:D84">
    <cfRule type="expression" dxfId="104" priority="52">
      <formula>$E82="VB"</formula>
    </cfRule>
  </conditionalFormatting>
  <conditionalFormatting sqref="C105:D108">
    <cfRule type="expression" dxfId="103" priority="49">
      <formula>$A105="SUMÁCIA:"</formula>
    </cfRule>
  </conditionalFormatting>
  <conditionalFormatting sqref="C109:D110">
    <cfRule type="expression" dxfId="102" priority="46">
      <formula>#REF!="SUMÁCIA:"</formula>
    </cfRule>
    <cfRule type="expression" dxfId="101" priority="45">
      <formula>$E109="VB"</formula>
    </cfRule>
  </conditionalFormatting>
  <conditionalFormatting sqref="C111:D114">
    <cfRule type="expression" dxfId="100" priority="48">
      <formula>$A111="SUMÁCIA:"</formula>
    </cfRule>
  </conditionalFormatting>
  <conditionalFormatting sqref="C112:D114">
    <cfRule type="expression" dxfId="99" priority="47">
      <formula>$E112="VB"</formula>
    </cfRule>
  </conditionalFormatting>
  <conditionalFormatting sqref="C138:D141">
    <cfRule type="expression" dxfId="98" priority="44">
      <formula>$A138="SUMÁCIA:"</formula>
    </cfRule>
  </conditionalFormatting>
  <conditionalFormatting sqref="C142:D143">
    <cfRule type="expression" dxfId="97" priority="40">
      <formula>$E142="VB"</formula>
    </cfRule>
    <cfRule type="expression" dxfId="96" priority="41">
      <formula>#REF!="SUMÁCIA:"</formula>
    </cfRule>
  </conditionalFormatting>
  <conditionalFormatting sqref="C144:D147">
    <cfRule type="expression" dxfId="95" priority="43">
      <formula>$A144="SUMÁCIA:"</formula>
    </cfRule>
  </conditionalFormatting>
  <conditionalFormatting sqref="C145:D147">
    <cfRule type="expression" dxfId="94" priority="42">
      <formula>$E145="VB"</formula>
    </cfRule>
  </conditionalFormatting>
  <conditionalFormatting sqref="C167:D170">
    <cfRule type="expression" dxfId="93" priority="33">
      <formula>$A167="SUMÁCIA:"</formula>
    </cfRule>
  </conditionalFormatting>
  <conditionalFormatting sqref="C171:D172">
    <cfRule type="expression" dxfId="92" priority="32">
      <formula>#REF!="SUMÁCIA:"</formula>
    </cfRule>
    <cfRule type="expression" dxfId="91" priority="31">
      <formula>$E171="VB"</formula>
    </cfRule>
  </conditionalFormatting>
  <conditionalFormatting sqref="C190:D191">
    <cfRule type="expression" dxfId="90" priority="29">
      <formula>#REF!="SUMÁCIA:"</formula>
    </cfRule>
    <cfRule type="expression" dxfId="89" priority="30">
      <formula>#REF!="SUMÁCIA:"</formula>
    </cfRule>
    <cfRule type="expression" dxfId="88" priority="28">
      <formula>$E190="VB"</formula>
    </cfRule>
  </conditionalFormatting>
  <conditionalFormatting sqref="C205:D206">
    <cfRule type="expression" dxfId="87" priority="26">
      <formula>$E205="VB"</formula>
    </cfRule>
    <cfRule type="expression" dxfId="86" priority="27">
      <formula>#REF!="SUMÁCIA:"</formula>
    </cfRule>
  </conditionalFormatting>
  <conditionalFormatting sqref="C220:D221">
    <cfRule type="expression" dxfId="85" priority="25">
      <formula>#REF!="SUMÁCIA:"</formula>
    </cfRule>
    <cfRule type="expression" dxfId="84" priority="24">
      <formula>$E220="VB"</formula>
    </cfRule>
  </conditionalFormatting>
  <conditionalFormatting sqref="C235:D236">
    <cfRule type="expression" dxfId="83" priority="23">
      <formula>#REF!="SUMÁCIA:"</formula>
    </cfRule>
    <cfRule type="expression" dxfId="82" priority="22">
      <formula>#REF!="SUMÁCIA:"</formula>
    </cfRule>
    <cfRule type="expression" dxfId="81" priority="21">
      <formula>$E235="VB"</formula>
    </cfRule>
  </conditionalFormatting>
  <conditionalFormatting sqref="C245:D248">
    <cfRule type="expression" dxfId="80" priority="123">
      <formula>$A245="SUMÁCIA:"</formula>
    </cfRule>
  </conditionalFormatting>
  <conditionalFormatting sqref="C249:D250">
    <cfRule type="expression" dxfId="79" priority="66">
      <formula>#REF!="SUMÁCIA:"</formula>
    </cfRule>
    <cfRule type="expression" dxfId="78" priority="65">
      <formula>$E249="VB"</formula>
    </cfRule>
  </conditionalFormatting>
  <conditionalFormatting sqref="C257:D257 F257:G257 J258 H259">
    <cfRule type="cellIs" dxfId="77" priority="113" operator="lessThan">
      <formula>-20</formula>
    </cfRule>
  </conditionalFormatting>
  <conditionalFormatting sqref="G5:G242">
    <cfRule type="cellIs" dxfId="76" priority="4" operator="greaterThan">
      <formula>65</formula>
    </cfRule>
    <cfRule type="cellIs" dxfId="75" priority="5" operator="between">
      <formula>63</formula>
      <formula>65</formula>
    </cfRule>
    <cfRule type="cellIs" dxfId="74" priority="6" operator="between">
      <formula>60</formula>
      <formula>63</formula>
    </cfRule>
    <cfRule type="cellIs" dxfId="73" priority="7" operator="between">
      <formula>55</formula>
      <formula>60</formula>
    </cfRule>
    <cfRule type="cellIs" dxfId="72" priority="9" operator="between">
      <formula>45</formula>
      <formula>50</formula>
    </cfRule>
    <cfRule type="cellIs" dxfId="71" priority="11" operator="between">
      <formula>30</formula>
      <formula>40</formula>
    </cfRule>
    <cfRule type="cellIs" dxfId="70" priority="8" operator="between">
      <formula>50</formula>
      <formula>55</formula>
    </cfRule>
    <cfRule type="cellIs" dxfId="69" priority="10" operator="between">
      <formula>40</formula>
      <formula>45</formula>
    </cfRule>
  </conditionalFormatting>
  <conditionalFormatting sqref="H3:H242">
    <cfRule type="cellIs" dxfId="68" priority="34" operator="greaterThan">
      <formula>65</formula>
    </cfRule>
  </conditionalFormatting>
  <conditionalFormatting sqref="H8:H31 A32:F148 H32:V148 A149:V149 H150:V160 A150:G242 T161:V164 H165:V165 H166:O242 Q166:V242 C8:F31 G5:G148 W32:AA242 P166 P168:P242">
    <cfRule type="containsBlanks" dxfId="67" priority="75">
      <formula>LEN(TRIM(A5))=0</formula>
    </cfRule>
  </conditionalFormatting>
  <conditionalFormatting sqref="H8:H242 E143:E242 M143:M242 Q143:Q242 U143:U242">
    <cfRule type="cellIs" dxfId="66" priority="74" operator="between">
      <formula>30</formula>
      <formula>40</formula>
    </cfRule>
    <cfRule type="cellIs" dxfId="65" priority="73" operator="between">
      <formula>40</formula>
      <formula>45</formula>
    </cfRule>
    <cfRule type="cellIs" dxfId="64" priority="69" operator="between">
      <formula>60</formula>
      <formula>63</formula>
    </cfRule>
    <cfRule type="cellIs" dxfId="63" priority="72" operator="between">
      <formula>45</formula>
      <formula>50</formula>
    </cfRule>
    <cfRule type="cellIs" dxfId="62" priority="71" operator="between">
      <formula>50</formula>
      <formula>55</formula>
    </cfRule>
    <cfRule type="cellIs" dxfId="61" priority="70" operator="between">
      <formula>55</formula>
      <formula>60</formula>
    </cfRule>
  </conditionalFormatting>
  <conditionalFormatting sqref="H8:H242 M143:M242 Q143:Q242 E143:E242 U143:U242">
    <cfRule type="cellIs" dxfId="60" priority="68" operator="between">
      <formula>63</formula>
      <formula>65</formula>
    </cfRule>
  </conditionalFormatting>
  <conditionalFormatting sqref="H161:R164">
    <cfRule type="containsBlanks" dxfId="59" priority="12">
      <formula>LEN(TRIM(H161))=0</formula>
    </cfRule>
  </conditionalFormatting>
  <conditionalFormatting sqref="K33:K242">
    <cfRule type="cellIs" dxfId="58" priority="114" operator="greaterThan">
      <formula>30</formula>
    </cfRule>
    <cfRule type="cellIs" dxfId="57" priority="116" operator="between">
      <formula>20</formula>
      <formula>25</formula>
    </cfRule>
    <cfRule type="cellIs" dxfId="56" priority="117" operator="between">
      <formula>15</formula>
      <formula>20</formula>
    </cfRule>
    <cfRule type="cellIs" dxfId="55" priority="118" operator="between">
      <formula>10</formula>
      <formula>15</formula>
    </cfRule>
    <cfRule type="cellIs" dxfId="54" priority="119" operator="between">
      <formula>5</formula>
      <formula>10</formula>
    </cfRule>
    <cfRule type="cellIs" dxfId="53" priority="120" operator="between">
      <formula>0</formula>
      <formula>5</formula>
    </cfRule>
    <cfRule type="cellIs" dxfId="52" priority="115" operator="between">
      <formula>25</formula>
      <formula>30</formula>
    </cfRule>
  </conditionalFormatting>
  <conditionalFormatting sqref="L33:L242">
    <cfRule type="cellIs" dxfId="51" priority="109" operator="between">
      <formula>8</formula>
      <formula>11</formula>
    </cfRule>
    <cfRule type="cellIs" dxfId="50" priority="110" operator="between">
      <formula>5</formula>
      <formula>8</formula>
    </cfRule>
    <cfRule type="cellIs" dxfId="49" priority="111" operator="between">
      <formula>2</formula>
      <formula>5</formula>
    </cfRule>
    <cfRule type="cellIs" dxfId="48" priority="112" operator="between">
      <formula>0</formula>
      <formula>2</formula>
    </cfRule>
    <cfRule type="cellIs" dxfId="47" priority="108" operator="between">
      <formula>11</formula>
      <formula>13</formula>
    </cfRule>
    <cfRule type="cellIs" dxfId="46" priority="106" operator="greaterThan">
      <formula>15</formula>
    </cfRule>
    <cfRule type="cellIs" dxfId="45" priority="107" operator="between">
      <formula>13</formula>
      <formula>15</formula>
    </cfRule>
  </conditionalFormatting>
  <conditionalFormatting sqref="N33:N242">
    <cfRule type="cellIs" dxfId="44" priority="103" operator="between">
      <formula>50</formula>
      <formula>90</formula>
    </cfRule>
    <cfRule type="cellIs" dxfId="43" priority="101" operator="greaterThan">
      <formula>150</formula>
    </cfRule>
    <cfRule type="cellIs" dxfId="42" priority="102" operator="between">
      <formula>90</formula>
      <formula>150</formula>
    </cfRule>
    <cfRule type="cellIs" dxfId="41" priority="105" operator="between">
      <formula>5</formula>
      <formula>15</formula>
    </cfRule>
    <cfRule type="cellIs" dxfId="40" priority="104" operator="between">
      <formula>30</formula>
      <formula>50</formula>
    </cfRule>
  </conditionalFormatting>
  <conditionalFormatting sqref="N33:O148 N150:O242">
    <cfRule type="cellIs" dxfId="39" priority="100" operator="between">
      <formula>0</formula>
      <formula>5</formula>
    </cfRule>
    <cfRule type="cellIs" dxfId="38" priority="97" operator="between">
      <formula>15</formula>
      <formula>30</formula>
    </cfRule>
  </conditionalFormatting>
  <conditionalFormatting sqref="N149:O149">
    <cfRule type="cellIs" dxfId="37" priority="2" operator="between">
      <formula>15</formula>
      <formula>30</formula>
    </cfRule>
    <cfRule type="cellIs" dxfId="36" priority="3" operator="between">
      <formula>0</formula>
      <formula>5</formula>
    </cfRule>
  </conditionalFormatting>
  <conditionalFormatting sqref="N33:Q148 N150:Q165 P166 N166:O177 Q166:Q177 P168:P177 N178:Q242">
    <cfRule type="cellIs" dxfId="35" priority="77" operator="equal">
      <formula>0</formula>
    </cfRule>
  </conditionalFormatting>
  <conditionalFormatting sqref="N149:Q149">
    <cfRule type="cellIs" dxfId="34" priority="1" operator="equal">
      <formula>0</formula>
    </cfRule>
  </conditionalFormatting>
  <conditionalFormatting sqref="O33:O242">
    <cfRule type="cellIs" dxfId="33" priority="96" operator="between">
      <formula>30</formula>
      <formula>45</formula>
    </cfRule>
    <cfRule type="cellIs" dxfId="32" priority="98" operator="between">
      <formula>10</formula>
      <formula>15</formula>
    </cfRule>
    <cfRule type="cellIs" dxfId="31" priority="99" operator="between">
      <formula>5</formula>
      <formula>10</formula>
    </cfRule>
    <cfRule type="cellIs" dxfId="30" priority="93" operator="greaterThan">
      <formula>80</formula>
    </cfRule>
    <cfRule type="cellIs" dxfId="29" priority="94" operator="between">
      <formula>60</formula>
      <formula>80</formula>
    </cfRule>
    <cfRule type="cellIs" dxfId="28" priority="95" operator="between">
      <formula>45</formula>
      <formula>60</formula>
    </cfRule>
  </conditionalFormatting>
  <conditionalFormatting sqref="P33:P166 P168:P242">
    <cfRule type="cellIs" dxfId="27" priority="86" operator="greaterThan">
      <formula>50</formula>
    </cfRule>
    <cfRule type="cellIs" dxfId="26" priority="87" operator="between">
      <formula>40</formula>
      <formula>50</formula>
    </cfRule>
    <cfRule type="cellIs" dxfId="25" priority="92" operator="between">
      <formula>5</formula>
      <formula>10</formula>
    </cfRule>
    <cfRule type="cellIs" dxfId="24" priority="91" operator="between">
      <formula>10</formula>
      <formula>15</formula>
    </cfRule>
    <cfRule type="cellIs" dxfId="23" priority="90" operator="between">
      <formula>15</formula>
      <formula>20</formula>
    </cfRule>
    <cfRule type="cellIs" dxfId="22" priority="89" operator="between">
      <formula>20</formula>
      <formula>30</formula>
    </cfRule>
    <cfRule type="cellIs" dxfId="21" priority="88" operator="between">
      <formula>30</formula>
      <formula>40</formula>
    </cfRule>
  </conditionalFormatting>
  <conditionalFormatting sqref="Q33:Q242">
    <cfRule type="cellIs" dxfId="20" priority="84" operator="between">
      <formula>1</formula>
      <formula>3</formula>
    </cfRule>
    <cfRule type="cellIs" dxfId="19" priority="85" operator="between">
      <formula>0</formula>
      <formula>1</formula>
    </cfRule>
    <cfRule type="cellIs" dxfId="18" priority="78" operator="greaterThan">
      <formula>30</formula>
    </cfRule>
    <cfRule type="cellIs" dxfId="17" priority="79" operator="between">
      <formula>20</formula>
      <formula>30</formula>
    </cfRule>
    <cfRule type="cellIs" dxfId="16" priority="80" operator="between">
      <formula>15</formula>
      <formula>20</formula>
    </cfRule>
    <cfRule type="cellIs" dxfId="15" priority="81" operator="between">
      <formula>10</formula>
      <formula>15</formula>
    </cfRule>
    <cfRule type="cellIs" dxfId="14" priority="82" operator="between">
      <formula>5</formula>
      <formula>10</formula>
    </cfRule>
    <cfRule type="cellIs" dxfId="13" priority="83" operator="between">
      <formula>3</formula>
      <formula>5</formula>
    </cfRule>
  </conditionalFormatting>
  <conditionalFormatting sqref="R33:R160 R165:R242">
    <cfRule type="cellIs" dxfId="12" priority="76" operator="greaterThan">
      <formula>2500</formula>
    </cfRule>
  </conditionalFormatting>
  <conditionalFormatting sqref="R33:R242">
    <cfRule type="cellIs" dxfId="11" priority="19" operator="between">
      <formula>10</formula>
      <formula>50</formula>
    </cfRule>
    <cfRule type="cellIs" dxfId="10" priority="18" operator="between">
      <formula>50</formula>
      <formula>350</formula>
    </cfRule>
    <cfRule type="cellIs" dxfId="9" priority="17" operator="between">
      <formula>350</formula>
      <formula>700</formula>
    </cfRule>
    <cfRule type="cellIs" dxfId="8" priority="15" operator="between">
      <formula>1200</formula>
      <formula>1800</formula>
    </cfRule>
    <cfRule type="cellIs" dxfId="7" priority="14" operator="between">
      <formula>1800</formula>
      <formula>2500</formula>
    </cfRule>
    <cfRule type="cellIs" dxfId="6" priority="16" operator="between">
      <formula>700</formula>
      <formula>1200</formula>
    </cfRule>
    <cfRule type="cellIs" dxfId="5" priority="20" operator="between">
      <formula>1</formula>
      <formula>10</formula>
    </cfRule>
  </conditionalFormatting>
  <conditionalFormatting sqref="R161:R164">
    <cfRule type="cellIs" dxfId="4" priority="13" operator="greaterThan">
      <formula>2500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6" filterMode="1"/>
  <dimension ref="A1:AG18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25" sqref="H25"/>
    </sheetView>
  </sheetViews>
  <sheetFormatPr defaultRowHeight="14.4" x14ac:dyDescent="0.3"/>
  <cols>
    <col min="1" max="1" width="12.88671875" customWidth="1"/>
    <col min="2" max="11" width="8.88671875" style="1" customWidth="1"/>
    <col min="12" max="13" width="8.88671875" style="3" customWidth="1"/>
    <col min="14" max="14" width="8.77734375" style="3" customWidth="1"/>
    <col min="15" max="15" width="8.88671875" style="2" customWidth="1"/>
    <col min="16" max="16" width="7.6640625" style="2" customWidth="1"/>
    <col min="17" max="17" width="8.88671875" style="2" customWidth="1"/>
    <col min="18" max="18" width="8.88671875" style="6" customWidth="1"/>
    <col min="19" max="21" width="10.6640625" style="6" customWidth="1"/>
    <col min="22" max="22" width="10.5546875" style="6" customWidth="1"/>
    <col min="23" max="23" width="10.5546875" style="7" customWidth="1"/>
    <col min="24" max="24" width="10" style="7" customWidth="1"/>
    <col min="25" max="25" width="10.5546875" style="7" customWidth="1"/>
    <col min="26" max="26" width="10.44140625" customWidth="1"/>
    <col min="27" max="27" width="11.44140625" style="8" customWidth="1"/>
    <col min="28" max="28" width="11.109375" style="10" customWidth="1"/>
    <col min="29" max="29" width="10.44140625" style="10" customWidth="1"/>
    <col min="30" max="30" width="10" style="12" customWidth="1"/>
    <col min="31" max="31" width="10.44140625" style="12" customWidth="1"/>
    <col min="32" max="32" width="10.5546875" customWidth="1"/>
    <col min="33" max="33" width="10" customWidth="1"/>
  </cols>
  <sheetData>
    <row r="1" spans="1:33" ht="16.2" thickBot="1" x14ac:dyDescent="0.35">
      <c r="A1" s="43" t="s">
        <v>1</v>
      </c>
      <c r="B1" s="501" t="s">
        <v>2</v>
      </c>
      <c r="C1" s="502"/>
      <c r="D1" s="502"/>
      <c r="E1" s="502"/>
      <c r="F1" s="502"/>
      <c r="G1" s="502"/>
      <c r="H1" s="502"/>
      <c r="I1" s="503"/>
      <c r="J1" s="498" t="s">
        <v>5</v>
      </c>
      <c r="K1" s="499"/>
      <c r="L1" s="500"/>
      <c r="M1" s="504" t="s">
        <v>36</v>
      </c>
      <c r="N1" s="505"/>
      <c r="O1" s="505"/>
      <c r="P1" s="505"/>
      <c r="Q1" s="505"/>
      <c r="R1" s="506"/>
      <c r="S1" s="495" t="s">
        <v>7</v>
      </c>
      <c r="T1" s="496"/>
      <c r="U1" s="497"/>
      <c r="V1" s="412" t="s">
        <v>10</v>
      </c>
      <c r="W1" s="493"/>
      <c r="X1" s="493"/>
      <c r="Y1" s="493"/>
      <c r="Z1" s="493"/>
      <c r="AA1" s="494"/>
      <c r="AB1" s="490" t="s">
        <v>14</v>
      </c>
      <c r="AC1" s="491"/>
      <c r="AD1" s="491"/>
      <c r="AE1" s="491"/>
      <c r="AF1" s="492"/>
    </row>
    <row r="2" spans="1:33" s="36" customFormat="1" ht="29.4" thickBot="1" x14ac:dyDescent="0.35">
      <c r="A2" s="81"/>
      <c r="B2" s="44" t="s">
        <v>3</v>
      </c>
      <c r="C2" s="34" t="s">
        <v>4</v>
      </c>
      <c r="D2" s="34" t="s">
        <v>200</v>
      </c>
      <c r="E2" s="34" t="s">
        <v>199</v>
      </c>
      <c r="F2" s="34" t="s">
        <v>6</v>
      </c>
      <c r="G2" s="34" t="s">
        <v>90</v>
      </c>
      <c r="H2" s="82" t="s">
        <v>116</v>
      </c>
      <c r="I2" s="83" t="s">
        <v>117</v>
      </c>
      <c r="J2" s="44" t="s">
        <v>20</v>
      </c>
      <c r="K2" s="34" t="s">
        <v>21</v>
      </c>
      <c r="L2" s="253" t="s">
        <v>86</v>
      </c>
      <c r="M2" s="93" t="s">
        <v>38</v>
      </c>
      <c r="N2" s="36" t="s">
        <v>211</v>
      </c>
      <c r="O2" s="94" t="s">
        <v>37</v>
      </c>
      <c r="P2" s="94" t="s">
        <v>85</v>
      </c>
      <c r="Q2" s="94" t="s">
        <v>118</v>
      </c>
      <c r="R2" s="95" t="s">
        <v>119</v>
      </c>
      <c r="S2" s="46" t="s">
        <v>8</v>
      </c>
      <c r="T2" s="23" t="s">
        <v>9</v>
      </c>
      <c r="U2" s="46" t="s">
        <v>87</v>
      </c>
      <c r="V2" s="4" t="s">
        <v>11</v>
      </c>
      <c r="W2" s="59" t="s">
        <v>44</v>
      </c>
      <c r="X2" s="5" t="s">
        <v>12</v>
      </c>
      <c r="Y2" s="5" t="s">
        <v>43</v>
      </c>
      <c r="Z2" s="68" t="s">
        <v>94</v>
      </c>
      <c r="AA2" s="96" t="s">
        <v>195</v>
      </c>
      <c r="AB2" s="45" t="s">
        <v>22</v>
      </c>
      <c r="AC2" s="97" t="s">
        <v>120</v>
      </c>
      <c r="AD2" s="9" t="s">
        <v>17</v>
      </c>
      <c r="AE2" s="11" t="s">
        <v>201</v>
      </c>
      <c r="AF2" s="13" t="s">
        <v>18</v>
      </c>
      <c r="AG2" s="35"/>
    </row>
    <row r="3" spans="1:33" s="219" customFormat="1" x14ac:dyDescent="0.3">
      <c r="A3" s="235" t="s">
        <v>23</v>
      </c>
      <c r="B3" s="202">
        <f>MAX('Január-December'!E3:E33)</f>
        <v>9.6999999999999993</v>
      </c>
      <c r="C3" s="201">
        <f>IFERROR(MIN('Január-December'!F3:F33),"")</f>
        <v>-14</v>
      </c>
      <c r="D3" s="201">
        <f>MAX('Január-December'!G3:G33)</f>
        <v>14.100000000000001</v>
      </c>
      <c r="E3" s="201">
        <f>MIN('Január-December'!G3:G33)</f>
        <v>2.9</v>
      </c>
      <c r="F3" s="201">
        <f>IFERROR(AVERAGE('Január-December'!H3:H33),"")</f>
        <v>-0.76370967741935458</v>
      </c>
      <c r="G3" s="201">
        <f>IFERROR(AVERAGE('Január-December'!I3:I33),"")</f>
        <v>-0.62882680261508672</v>
      </c>
      <c r="H3" s="201">
        <f>MAX('Január-December'!H3:H33)</f>
        <v>5.9749999999999996</v>
      </c>
      <c r="I3" s="203">
        <f>MIN('Január-December'!H3:H33)</f>
        <v>-8.8500000000000014</v>
      </c>
      <c r="J3" s="202">
        <f>MAX('Január-December'!J3:J33)</f>
        <v>7.4</v>
      </c>
      <c r="K3" s="201">
        <f>MIN('Január-December'!K3:K33)</f>
        <v>-15.6</v>
      </c>
      <c r="L3" s="203">
        <f>IFERROR(AVERAGE('Január-December'!L3:L33),"")</f>
        <v>-2.2912148874393887</v>
      </c>
      <c r="M3" s="204">
        <f>MAX('Január-December'!M3:M33)</f>
        <v>100</v>
      </c>
      <c r="N3" s="205">
        <f>COUNTIF('Január-December'!M3:M33,"&gt;95")</f>
        <v>21</v>
      </c>
      <c r="O3" s="206">
        <f>MIN('Január-December'!N3:N33)</f>
        <v>55.1</v>
      </c>
      <c r="P3" s="206">
        <f>IFERROR(AVERAGE('Január-December'!O3:O33),"")</f>
        <v>88.811365217141898</v>
      </c>
      <c r="Q3" s="206">
        <f>MAX('Január-December'!O3:O33)</f>
        <v>98.885959885386811</v>
      </c>
      <c r="R3" s="207">
        <f>MIN('Január-December'!O3:O33)</f>
        <v>75.516736111111058</v>
      </c>
      <c r="S3" s="208">
        <f>MAX('Január-December'!P3:P33)</f>
        <v>1040.6175836689199</v>
      </c>
      <c r="T3" s="209">
        <f>MIN('Január-December'!Q3:Q33)</f>
        <v>991.94383384518198</v>
      </c>
      <c r="U3" s="210">
        <f>IFERROR(AVERAGE('Január-December'!R3:R33),"")</f>
        <v>1018.0135068500896</v>
      </c>
      <c r="V3" s="211">
        <f>MAX('Január-December'!S3:S33)</f>
        <v>12.900000010319999</v>
      </c>
      <c r="W3" s="212">
        <f>MAX('Január-December'!T3:T33)</f>
        <v>8.8133333403840002</v>
      </c>
      <c r="X3" s="212">
        <f>IFERROR(AVERAGE('Január-December'!U3:U33),"")</f>
        <v>1.7070519823047858</v>
      </c>
      <c r="Y3" s="212">
        <f>MAX('Január-December'!U3:U33)</f>
        <v>5.2188638060687698</v>
      </c>
      <c r="Z3" s="212">
        <f>MIN('Január-December'!U3:U33)</f>
        <v>0.32909399251133986</v>
      </c>
      <c r="AA3" s="237" t="s">
        <v>209</v>
      </c>
      <c r="AB3" s="213">
        <f>MAX('Január-December'!X3:X33)</f>
        <v>36</v>
      </c>
      <c r="AC3" s="214">
        <f>MAX('Január-December'!Y3:Y33)</f>
        <v>16</v>
      </c>
      <c r="AD3" s="215">
        <f>SUM('Január-December'!Y3:Y33)</f>
        <v>43.5</v>
      </c>
      <c r="AE3" s="216">
        <f>MAX('Január-December'!Z3:Z33)</f>
        <v>2.7</v>
      </c>
      <c r="AF3" s="217">
        <f>MAX('Január-December'!AA3:AA33)</f>
        <v>2.7</v>
      </c>
      <c r="AG3" s="218"/>
    </row>
    <row r="4" spans="1:33" s="228" customFormat="1" x14ac:dyDescent="0.3">
      <c r="A4" s="236" t="s">
        <v>24</v>
      </c>
      <c r="B4" s="202">
        <f>MAX('Január-December'!E34:E62)</f>
        <v>18.3</v>
      </c>
      <c r="C4" s="201">
        <f>MIN('Január-December'!F34:F62)</f>
        <v>-5.0999999999999996</v>
      </c>
      <c r="D4" s="201">
        <f>MAX('Január-December'!G34:G62)</f>
        <v>16.799999999999997</v>
      </c>
      <c r="E4" s="201">
        <f>MIN('Január-December'!G34:G62)</f>
        <v>2.4000000000000004</v>
      </c>
      <c r="F4" s="201">
        <f>IFERROR(AVERAGE('Január-December'!H34:H62),"")</f>
        <v>5.5698275862068964</v>
      </c>
      <c r="G4" s="201">
        <f>IFERROR(AVERAGE('Január-December'!I34:I62),"")</f>
        <v>5.6062944682056983</v>
      </c>
      <c r="H4" s="201">
        <f>MAX('Január-December'!H34:H62)</f>
        <v>10.675000000000001</v>
      </c>
      <c r="I4" s="203">
        <f>MIN('Január-December'!H34:H62)</f>
        <v>-0.42499999999999999</v>
      </c>
      <c r="J4" s="202">
        <f>MAX('Január-December'!J34:J62)</f>
        <v>11</v>
      </c>
      <c r="K4" s="201">
        <f>MIN('Január-December'!K34:K62)</f>
        <v>-6.3348517412121801</v>
      </c>
      <c r="L4" s="203">
        <f>IFERROR(AVERAGE('Január-December'!L34:L62),"")</f>
        <v>3.6571200818426526</v>
      </c>
      <c r="M4" s="204">
        <f>MAX('Január-December'!M34:M62)</f>
        <v>100</v>
      </c>
      <c r="N4" s="205">
        <f>COUNTIF('Január-December'!M34:M62,"&gt;95")</f>
        <v>24</v>
      </c>
      <c r="O4" s="206">
        <f>MIN('Január-December'!N34:N62)</f>
        <v>50</v>
      </c>
      <c r="P4" s="206">
        <f>IFERROR(AVERAGE('Január-December'!O34:O62),"")</f>
        <v>88.086121963042586</v>
      </c>
      <c r="Q4" s="206">
        <f>MAX('Január-December'!O34:O62)</f>
        <v>96.609583333333177</v>
      </c>
      <c r="R4" s="207">
        <f>MIN('Január-December'!O34:O62)</f>
        <v>74.316111111111283</v>
      </c>
      <c r="S4" s="208">
        <f>MAX('Január-December'!P34:P62)</f>
        <v>1033.0359428884101</v>
      </c>
      <c r="T4" s="209">
        <f>MIN('Január-December'!Q34:Q62)</f>
        <v>994.17500764498902</v>
      </c>
      <c r="U4" s="210">
        <f>IFERROR(AVERAGE('Január-December'!R34:R62),"")</f>
        <v>1013.6797272960105</v>
      </c>
      <c r="V4" s="220">
        <f>MAX('Január-December'!S34:S62)</f>
        <v>13.900000011119999</v>
      </c>
      <c r="W4" s="221">
        <f>MAX('Január-December'!T34:T62)</f>
        <v>9.1166666739600011</v>
      </c>
      <c r="X4" s="221">
        <f>IFERROR(AVERAGE('Január-December'!U34:U62),"")</f>
        <v>1.4970109610051983</v>
      </c>
      <c r="Y4" s="221">
        <f>MAX('Január-December'!U34:U62)</f>
        <v>4.5495256953392396</v>
      </c>
      <c r="Z4" s="221">
        <f>MIN('Január-December'!U34:U62)</f>
        <v>0.45287691223411236</v>
      </c>
      <c r="AA4" s="238" t="s">
        <v>209</v>
      </c>
      <c r="AB4" s="222">
        <f>MAX('Január-December'!X34:X62)</f>
        <v>42</v>
      </c>
      <c r="AC4" s="223">
        <f>MAX('Január-December'!Y34:Y62)</f>
        <v>4.9000000000000004</v>
      </c>
      <c r="AD4" s="224">
        <f>SUM('Január-December'!Y34:Y62)</f>
        <v>29.200000000000003</v>
      </c>
      <c r="AE4" s="225">
        <f>MAX('Január-December'!Z34:Z62)</f>
        <v>0.5</v>
      </c>
      <c r="AF4" s="226">
        <f>MAX('Január-December'!AA34:AA62)</f>
        <v>0.8</v>
      </c>
      <c r="AG4" s="227"/>
    </row>
    <row r="5" spans="1:33" s="228" customFormat="1" x14ac:dyDescent="0.3">
      <c r="A5" s="236" t="s">
        <v>25</v>
      </c>
      <c r="B5" s="202">
        <f>MAX('Január-December'!E63:E93)</f>
        <v>23.2</v>
      </c>
      <c r="C5" s="201">
        <f>MIN('Január-December'!F63:F93)</f>
        <v>-3.5</v>
      </c>
      <c r="D5" s="201">
        <f>MAX('Január-December'!G63:G93)</f>
        <v>19.5</v>
      </c>
      <c r="E5" s="201">
        <f>MIN('Január-December'!G63:G93)</f>
        <v>2.8000000000000003</v>
      </c>
      <c r="F5" s="201">
        <f>IFERROR(AVERAGE('Január-December'!H63:H93),"")</f>
        <v>7.8137096774193564</v>
      </c>
      <c r="G5" s="201">
        <f>IFERROR(AVERAGE('Január-December'!I63:I93),"")</f>
        <v>7.6350755773474717</v>
      </c>
      <c r="H5" s="201">
        <f>MAX('Január-December'!H63:H93)</f>
        <v>18.350000000000001</v>
      </c>
      <c r="I5" s="203">
        <f>MIN('Január-December'!H63:H93)</f>
        <v>2.2750000000000004</v>
      </c>
      <c r="J5" s="202">
        <f>MAX('Január-December'!J63:J93)</f>
        <v>13.2</v>
      </c>
      <c r="K5" s="201">
        <f>MIN('Január-December'!K63:K93)</f>
        <v>-4.4000000000000004</v>
      </c>
      <c r="L5" s="203">
        <f>IFERROR(AVERAGE('Január-December'!L63:L93),"")</f>
        <v>4.1294599495040885</v>
      </c>
      <c r="M5" s="204">
        <f>MAX('Január-December'!M63:M93)</f>
        <v>99.2</v>
      </c>
      <c r="N5" s="205">
        <f>COUNTIF('Január-December'!M63:M93,"&gt;95")</f>
        <v>21</v>
      </c>
      <c r="O5" s="206">
        <f>MIN('Január-December'!N63:N93)</f>
        <v>35.9</v>
      </c>
      <c r="P5" s="206">
        <f>IFERROR(AVERAGE('Január-December'!O63:O93),"")</f>
        <v>80.23918156848994</v>
      </c>
      <c r="Q5" s="206">
        <f>MAX('Január-December'!O63:O93)</f>
        <v>92.060486111111203</v>
      </c>
      <c r="R5" s="207">
        <f>MIN('Január-December'!O63:O93)</f>
        <v>56.986875000000055</v>
      </c>
      <c r="S5" s="208">
        <f>MAX('Január-December'!P63:P93)</f>
        <v>1023.11122410088</v>
      </c>
      <c r="T5" s="209">
        <f>MIN('Január-December'!Q63:Q93)</f>
        <v>994.41080226504505</v>
      </c>
      <c r="U5" s="210">
        <f>IFERROR(AVERAGE('Január-December'!R63:R93),"")</f>
        <v>1012.0821958099767</v>
      </c>
      <c r="V5" s="220">
        <f>MAX('Január-December'!S63:S93)</f>
        <v>12.20000000976</v>
      </c>
      <c r="W5" s="221">
        <f>MAX('Január-December'!T63:T93)</f>
        <v>8.4733333401119992</v>
      </c>
      <c r="X5" s="221">
        <f>IFERROR(AVERAGE('Január-December'!U63:U93),"")</f>
        <v>1.7310672995934753</v>
      </c>
      <c r="Y5" s="221">
        <f>MAX('Január-December'!U63:U93)</f>
        <v>4.040706842795232</v>
      </c>
      <c r="Z5" s="221">
        <f>MIN('Január-December'!U63:U93)</f>
        <v>0.64814526640697123</v>
      </c>
      <c r="AA5" s="238" t="s">
        <v>209</v>
      </c>
      <c r="AB5" s="222">
        <f>MAX('Január-December'!X63:X93)</f>
        <v>54</v>
      </c>
      <c r="AC5" s="223">
        <f>MAX('Január-December'!Y63:Y93)</f>
        <v>11</v>
      </c>
      <c r="AD5" s="224">
        <f>SUM('Január-December'!Y63:Y93)</f>
        <v>40.9</v>
      </c>
      <c r="AE5" s="225">
        <f>MAX('Január-December'!Z63:Z93)</f>
        <v>0</v>
      </c>
      <c r="AF5" s="226">
        <f>MAX('Január-December'!AA63:AA93)</f>
        <v>0</v>
      </c>
      <c r="AG5" s="227"/>
    </row>
    <row r="6" spans="1:33" s="228" customFormat="1" ht="13.8" customHeight="1" x14ac:dyDescent="0.3">
      <c r="A6" s="236" t="s">
        <v>26</v>
      </c>
      <c r="B6" s="202">
        <f>MAX('Január-December'!E94:E123)</f>
        <v>26.2</v>
      </c>
      <c r="C6" s="201">
        <f>MIN('Január-December'!F94:F123)</f>
        <v>-0.6</v>
      </c>
      <c r="D6" s="201">
        <f>MAX('Január-December'!G94:G123)</f>
        <v>22</v>
      </c>
      <c r="E6" s="201">
        <f>MIN('Január-December'!G94:G123)</f>
        <v>7.1000000000000005</v>
      </c>
      <c r="F6" s="201">
        <f>IFERROR(AVERAGE('Január-December'!H94:H123),"")</f>
        <v>11.434166666666664</v>
      </c>
      <c r="G6" s="201">
        <f>IFERROR(AVERAGE('Január-December'!I94:I123),"")</f>
        <v>11.957079951551908</v>
      </c>
      <c r="H6" s="201">
        <f>MAX('Január-December'!H94:H123)</f>
        <v>21.05</v>
      </c>
      <c r="I6" s="203">
        <f>MIN('Január-December'!H94:H123)</f>
        <v>4.5250000000000004</v>
      </c>
      <c r="J6" s="202">
        <f>MAX('Január-December'!J94:J123)</f>
        <v>15.8</v>
      </c>
      <c r="K6" s="201">
        <f>MIN('Január-December'!K94:K123)</f>
        <v>-4.0827983657139297</v>
      </c>
      <c r="L6" s="203">
        <f>IFERROR(AVERAGE('Január-December'!L94:L123),"")</f>
        <v>7.0335840182074749</v>
      </c>
      <c r="M6" s="204">
        <f>MAX('Január-December'!M94:M123)</f>
        <v>100</v>
      </c>
      <c r="N6" s="205">
        <f>COUNTIF('Január-December'!M94:M123,"&gt;95")</f>
        <v>20</v>
      </c>
      <c r="O6" s="206">
        <f>MIN('Január-December'!N94:N123)</f>
        <v>31</v>
      </c>
      <c r="P6" s="206">
        <f>IFERROR(AVERAGE('Január-December'!O94:O123),"")</f>
        <v>74.758741922974096</v>
      </c>
      <c r="Q6" s="206">
        <f>MAX('Január-December'!O94:O123)</f>
        <v>89.869722222222109</v>
      </c>
      <c r="R6" s="207">
        <f>MIN('Január-December'!O94:O123)</f>
        <v>50.66356643356643</v>
      </c>
      <c r="S6" s="208">
        <f>MAX('Január-December'!P94:P123)</f>
        <v>1032.1373377667301</v>
      </c>
      <c r="T6" s="209">
        <f>MIN('Január-December'!Q94:Q123)</f>
        <v>994.725763847537</v>
      </c>
      <c r="U6" s="210">
        <f>IFERROR(AVERAGE('Január-December'!R94:R123),"")</f>
        <v>1014.2764957827354</v>
      </c>
      <c r="V6" s="220">
        <f>MAX('Január-December'!S94:S123)</f>
        <v>13.600000010880001</v>
      </c>
      <c r="W6" s="221">
        <f>MAX('Január-December'!T94:T123)</f>
        <v>9.6633333410639999</v>
      </c>
      <c r="X6" s="221">
        <f>IFERROR(AVERAGE('Január-December'!U94:U123),"")</f>
        <v>1.7463851024639092</v>
      </c>
      <c r="Y6" s="221">
        <f>MAX('Január-December'!U94:U123)</f>
        <v>4.9961318447929504</v>
      </c>
      <c r="Z6" s="221">
        <f>MIN('Január-December'!U94:U123)</f>
        <v>0.78734335902586305</v>
      </c>
      <c r="AA6" s="238" t="s">
        <v>209</v>
      </c>
      <c r="AB6" s="222">
        <f>MAX('Január-December'!X94:X123)</f>
        <v>72</v>
      </c>
      <c r="AC6" s="223">
        <f>MAX('Január-December'!Y94:Y123)</f>
        <v>22.7</v>
      </c>
      <c r="AD6" s="224">
        <f>SUM('Január-December'!Y94:Y123)</f>
        <v>47.1</v>
      </c>
      <c r="AE6" s="225">
        <f>MAX('Január-December'!Z94:Z123)</f>
        <v>0</v>
      </c>
      <c r="AF6" s="226">
        <f>MAX('Január-December'!AA94:AA123)</f>
        <v>0</v>
      </c>
      <c r="AG6" s="227"/>
    </row>
    <row r="7" spans="1:33" s="228" customFormat="1" x14ac:dyDescent="0.3">
      <c r="A7" s="236" t="s">
        <v>27</v>
      </c>
      <c r="B7" s="202">
        <f>MAX('Január-December'!E124:E154)</f>
        <v>28.7</v>
      </c>
      <c r="C7" s="201">
        <f>MIN('Január-December'!F124:F154)</f>
        <v>-1.3</v>
      </c>
      <c r="D7" s="201">
        <f>MAX('Január-December'!G124:G154)</f>
        <v>27.1</v>
      </c>
      <c r="E7" s="201">
        <f>MIN('Január-December'!G124:G154)</f>
        <v>8.4999999999999982</v>
      </c>
      <c r="F7" s="201">
        <f>IFERROR(AVERAGE('Január-December'!H124:H154),"")</f>
        <v>15.774999999999999</v>
      </c>
      <c r="G7" s="201">
        <f>IFERROR(AVERAGE('Január-December'!I124:I154),"")</f>
        <v>15.673343174790089</v>
      </c>
      <c r="H7" s="201">
        <f>MAX('Január-December'!H124:H154)</f>
        <v>19.475000000000001</v>
      </c>
      <c r="I7" s="203">
        <f>MIN('Január-December'!H124:H154)</f>
        <v>11.625</v>
      </c>
      <c r="J7" s="202">
        <f>MAX('Január-December'!J124:J154)</f>
        <v>20.5</v>
      </c>
      <c r="K7" s="201">
        <f>MIN('Január-December'!K124:K154)</f>
        <v>-2.7</v>
      </c>
      <c r="L7" s="203">
        <f>IFERROR(AVERAGE('Január-December'!L124:L154),"")</f>
        <v>10.210401985257818</v>
      </c>
      <c r="M7" s="204">
        <f>MAX('Január-December'!M124:M154)</f>
        <v>99.9</v>
      </c>
      <c r="N7" s="205">
        <f>COUNTIF('Január-December'!M124:M154,"&gt;95")</f>
        <v>25</v>
      </c>
      <c r="O7" s="206">
        <f>MIN('Január-December'!N124:N154)</f>
        <v>20</v>
      </c>
      <c r="P7" s="206">
        <f>IFERROR(AVERAGE('Január-December'!O124:O154),"")</f>
        <v>73.865992192883226</v>
      </c>
      <c r="Q7" s="206">
        <f>MAX('Január-December'!O124:O154)</f>
        <v>93.806736111111121</v>
      </c>
      <c r="R7" s="207">
        <f>MIN('Január-December'!O124:O154)</f>
        <v>53.437563710499454</v>
      </c>
      <c r="S7" s="208">
        <f>MAX('Január-December'!P124:P154)</f>
        <v>1023.29553599979</v>
      </c>
      <c r="T7" s="209">
        <f>MIN('Január-December'!Q124:Q154)</f>
        <v>1003.97486743558</v>
      </c>
      <c r="U7" s="210">
        <f>IFERROR(AVERAGE('Január-December'!R124:R154),"")</f>
        <v>1014.5954008032735</v>
      </c>
      <c r="V7" s="220">
        <f>MAX('Január-December'!S124:S154)</f>
        <v>14.600000011680001</v>
      </c>
      <c r="W7" s="221">
        <f>MAX('Január-December'!T124:T154)</f>
        <v>7.4283333392760014</v>
      </c>
      <c r="X7" s="221">
        <f>IFERROR(AVERAGE('Január-December'!U124:U154),"")</f>
        <v>1.2928368108507995</v>
      </c>
      <c r="Y7" s="221">
        <f>MAX('Január-December'!U124:U154)</f>
        <v>2.1380916047639009</v>
      </c>
      <c r="Z7" s="221">
        <f>MIN('Január-December'!U124:U154)</f>
        <v>0.49250664772297942</v>
      </c>
      <c r="AA7" s="238" t="s">
        <v>209</v>
      </c>
      <c r="AB7" s="222">
        <f>MAX('Január-December'!X124:X154)</f>
        <v>60</v>
      </c>
      <c r="AC7" s="223">
        <f>MAX('Január-December'!Y124:Y154)</f>
        <v>6.8</v>
      </c>
      <c r="AD7" s="224">
        <f>SUM('Január-December'!Y124:Y154)</f>
        <v>26</v>
      </c>
      <c r="AE7" s="225">
        <f>MAX('Január-December'!Z124:Z154)</f>
        <v>0</v>
      </c>
      <c r="AF7" s="226">
        <f>MAX('Január-December'!AA124:AA154)</f>
        <v>0</v>
      </c>
      <c r="AG7" s="227"/>
    </row>
    <row r="8" spans="1:33" s="228" customFormat="1" x14ac:dyDescent="0.3">
      <c r="A8" s="236" t="s">
        <v>28</v>
      </c>
      <c r="B8" s="229">
        <f>MAX('Január-December'!E155:E184)</f>
        <v>33.1</v>
      </c>
      <c r="C8" s="201">
        <f>MIN('Január-December'!F155:F184)</f>
        <v>8.5</v>
      </c>
      <c r="D8" s="201">
        <f>MAX('Január-December'!G155:G184)</f>
        <v>18.200000000000003</v>
      </c>
      <c r="E8" s="201">
        <f>MIN('Január-December'!G155:G184)</f>
        <v>4.5999999999999996</v>
      </c>
      <c r="F8" s="201">
        <f>IFERROR(AVERAGE('Január-December'!H155:H184),"")</f>
        <v>19.943333333333335</v>
      </c>
      <c r="G8" s="201">
        <f>IFERROR(AVERAGE('Január-December'!I155:I184),"")</f>
        <v>20.220155959687396</v>
      </c>
      <c r="H8" s="201">
        <f>MAX('Január-December'!H155:H184)</f>
        <v>26.425000000000001</v>
      </c>
      <c r="I8" s="230">
        <f>MIN('Január-December'!H155:H184)</f>
        <v>13.625</v>
      </c>
      <c r="J8" s="202">
        <f>MAX('Január-December'!J155:J184)</f>
        <v>25.2</v>
      </c>
      <c r="K8" s="201">
        <f>MIN('Január-December'!K155:K184)</f>
        <v>8</v>
      </c>
      <c r="L8" s="203">
        <f>IFERROR(AVERAGE('Január-December'!L155:L184),"")</f>
        <v>16.411320473842128</v>
      </c>
      <c r="M8" s="204">
        <f>MAX('Január-December'!M155:M184)</f>
        <v>100</v>
      </c>
      <c r="N8" s="205">
        <f>COUNTIF('Január-December'!M155:M184,"&gt;95")</f>
        <v>24</v>
      </c>
      <c r="O8" s="206">
        <f>MIN('Január-December'!N155:N184)</f>
        <v>41.6666666666667</v>
      </c>
      <c r="P8" s="206">
        <f>IFERROR(AVERAGE('Január-December'!O155:O184),"")</f>
        <v>80.588994672986331</v>
      </c>
      <c r="Q8" s="206">
        <f>MAX('Január-December'!O155:O184)</f>
        <v>96.026666666666785</v>
      </c>
      <c r="R8" s="207">
        <f>MIN('Január-December'!O155:O184)</f>
        <v>66.372839506172866</v>
      </c>
      <c r="S8" s="231">
        <f>MAX('Január-December'!P155:P184)</f>
        <v>1022.4699742405199</v>
      </c>
      <c r="T8" s="209">
        <f>MIN('Január-December'!Q155:Q184)</f>
        <v>1001.93764452178</v>
      </c>
      <c r="U8" s="232">
        <f>IFERROR(AVERAGE('Január-December'!R155:R184),"")</f>
        <v>1013.1043572587727</v>
      </c>
      <c r="V8" s="220">
        <f>MAX('Január-December'!S155:S184)</f>
        <v>10.20000000816</v>
      </c>
      <c r="W8" s="221">
        <f>MAX('Január-December'!T155:T184)</f>
        <v>7.0833333390000011</v>
      </c>
      <c r="X8" s="221">
        <f>IFERROR(AVERAGE('Január-December'!U155:U184),"")</f>
        <v>1.3887845422153038</v>
      </c>
      <c r="Y8" s="221">
        <f>MAX('Január-December'!U155:U184)</f>
        <v>2.4938357958308597</v>
      </c>
      <c r="Z8" s="221">
        <f>MIN('Január-December'!U155:U184)</f>
        <v>0.6430191977220876</v>
      </c>
      <c r="AA8" s="238" t="s">
        <v>209</v>
      </c>
      <c r="AB8" s="222">
        <f>MAX('Január-December'!X155:X184)</f>
        <v>84</v>
      </c>
      <c r="AC8" s="223">
        <f>MAX('Január-December'!Y155:Y184)</f>
        <v>18</v>
      </c>
      <c r="AD8" s="224">
        <f>SUM('Január-December'!Y155:Y184)</f>
        <v>80.099999999999994</v>
      </c>
      <c r="AE8" s="225">
        <f>MAX('Január-December'!Z155:Z184)</f>
        <v>0</v>
      </c>
      <c r="AF8" s="226">
        <f>MAX('Január-December'!AA155:AA184)</f>
        <v>0</v>
      </c>
      <c r="AG8" s="227"/>
    </row>
    <row r="9" spans="1:33" s="228" customFormat="1" x14ac:dyDescent="0.3">
      <c r="A9" s="236" t="s">
        <v>29</v>
      </c>
      <c r="B9" s="229">
        <f>MAX('Január-December'!E185:E215)</f>
        <v>35.1</v>
      </c>
      <c r="C9" s="201">
        <f>MIN('Január-December'!F185:F215)</f>
        <v>8.8000000000000007</v>
      </c>
      <c r="D9" s="201">
        <f>MAX('Január-December'!G185:G215)</f>
        <v>21.4</v>
      </c>
      <c r="E9" s="201">
        <f>MIN('Január-December'!G185:G215)</f>
        <v>7.9999999999999982</v>
      </c>
      <c r="F9" s="201">
        <f>IFERROR(AVERAGE('Január-December'!H185:H215),"")</f>
        <v>22.17701612903226</v>
      </c>
      <c r="G9" s="201">
        <f>IFERROR(AVERAGE('Január-December'!I185:I215),"")</f>
        <v>22.288286803743912</v>
      </c>
      <c r="H9" s="201">
        <f>MAX('Január-December'!H185:H215)</f>
        <v>27.5</v>
      </c>
      <c r="I9" s="230">
        <f>MIN('Január-December'!H185:H215)</f>
        <v>17.225000000000001</v>
      </c>
      <c r="J9" s="202">
        <f>MAX('Január-December'!J185:J215)</f>
        <v>25</v>
      </c>
      <c r="K9" s="201">
        <f>MIN('Január-December'!K185:K215)</f>
        <v>6.9524709388078998</v>
      </c>
      <c r="L9" s="203">
        <f>IFERROR(AVERAGE('Január-December'!L185:L215),"")</f>
        <v>16.550800610318721</v>
      </c>
      <c r="M9" s="204">
        <f>MAX('Január-December'!M185:M215)</f>
        <v>99.6</v>
      </c>
      <c r="N9" s="205">
        <f>COUNTIF('Január-December'!M185:M215,"&gt;95")</f>
        <v>27</v>
      </c>
      <c r="O9" s="206">
        <f>MIN('Január-December'!N185:N215)</f>
        <v>27</v>
      </c>
      <c r="P9" s="206">
        <f>IFERROR(AVERAGE('Január-December'!O185:O215),"")</f>
        <v>73.029499292083528</v>
      </c>
      <c r="Q9" s="206">
        <f>MAX('Január-December'!O185:O215)</f>
        <v>89.013819444444536</v>
      </c>
      <c r="R9" s="207">
        <f>MIN('Január-December'!O185:O215)</f>
        <v>59.7821350762527</v>
      </c>
      <c r="S9" s="231">
        <f>MAX('Január-December'!P185:P215)</f>
        <v>1021.65093562142</v>
      </c>
      <c r="T9" s="209">
        <f>MIN('Január-December'!Q185:Q215)</f>
        <v>1004.79652700393</v>
      </c>
      <c r="U9" s="232">
        <f>IFERROR(AVERAGE('Január-December'!R185:R215),"")</f>
        <v>1013.4896392750552</v>
      </c>
      <c r="V9" s="220">
        <f>MAX('Január-December'!S185:S215)</f>
        <v>10.900000008719999</v>
      </c>
      <c r="W9" s="221">
        <f>MAX('Január-December'!T185:T215)</f>
        <v>6.0516666715080003</v>
      </c>
      <c r="X9" s="221">
        <f>IFERROR(AVERAGE('Január-December'!U185:U215),"")</f>
        <v>1.3168102447687042</v>
      </c>
      <c r="Y9" s="221">
        <f>MAX('Január-December'!U185:U215)</f>
        <v>2.6221305052423585</v>
      </c>
      <c r="Z9" s="221">
        <f>MIN('Január-December'!U185:U215)</f>
        <v>0.69425912552518609</v>
      </c>
      <c r="AA9" s="238" t="s">
        <v>209</v>
      </c>
      <c r="AB9" s="222">
        <f>MAX('Január-December'!X185:X215)</f>
        <v>174</v>
      </c>
      <c r="AC9" s="223">
        <f>MAX('Január-December'!Y185:Y215)</f>
        <v>35</v>
      </c>
      <c r="AD9" s="224">
        <f>SUM('Január-December'!Y185:Y215)</f>
        <v>120.8</v>
      </c>
      <c r="AE9" s="225">
        <f>MAX('Január-December'!Z185:Z215)</f>
        <v>0</v>
      </c>
      <c r="AF9" s="226">
        <f>MAX('Január-December'!AA185:AA215)</f>
        <v>0</v>
      </c>
      <c r="AG9" s="227"/>
    </row>
    <row r="10" spans="1:33" s="228" customFormat="1" x14ac:dyDescent="0.3">
      <c r="A10" s="236" t="s">
        <v>30</v>
      </c>
      <c r="B10" s="229">
        <f>MAX('Január-December'!E216:E246)</f>
        <v>34.9</v>
      </c>
      <c r="C10" s="201">
        <f>MIN('Január-December'!F216:F246)</f>
        <v>9.6</v>
      </c>
      <c r="D10" s="201">
        <f>MAX('Január-December'!G216:G246)</f>
        <v>21.099999999999998</v>
      </c>
      <c r="E10" s="201">
        <f>MIN('Január-December'!G216:G246)</f>
        <v>4.3000000000000007</v>
      </c>
      <c r="F10" s="201">
        <f>IFERROR(AVERAGE('Január-December'!H216:H246),"")</f>
        <v>21.126881720430109</v>
      </c>
      <c r="G10" s="201">
        <f>IFERROR(AVERAGE('Január-December'!I216:I246),"")</f>
        <v>21.366794052524444</v>
      </c>
      <c r="H10" s="201">
        <f>MAX('Január-December'!H216:H246)</f>
        <v>23.658333333333324</v>
      </c>
      <c r="I10" s="230">
        <f>MIN('Január-December'!H216:H246)</f>
        <v>16.475000000000001</v>
      </c>
      <c r="J10" s="202">
        <f>MAX('Január-December'!J216:J246)</f>
        <v>23.423213800442198</v>
      </c>
      <c r="K10" s="201">
        <f>MIN('Január-December'!K216:K246)</f>
        <v>7.8759872840655696</v>
      </c>
      <c r="L10" s="203">
        <f>IFERROR(AVERAGE('Január-December'!L216:L246),"")</f>
        <v>16.141393090454041</v>
      </c>
      <c r="M10" s="204">
        <f>MAX('Január-December'!M216:M246)</f>
        <v>99</v>
      </c>
      <c r="N10" s="205">
        <f>COUNTIF('Január-December'!M216:M246,"&gt;95")</f>
        <v>27</v>
      </c>
      <c r="O10" s="206">
        <f>MIN('Január-December'!N216:N246)</f>
        <v>12</v>
      </c>
      <c r="P10" s="206">
        <f>IFERROR(AVERAGE('Január-December'!O216:O246),"")</f>
        <v>75.560662830985976</v>
      </c>
      <c r="Q10" s="206">
        <f>MAX('Január-December'!O216:O246)</f>
        <v>93.923413566739612</v>
      </c>
      <c r="R10" s="207">
        <f>MIN('Január-December'!O216:O246)</f>
        <v>62.758473543038299</v>
      </c>
      <c r="S10" s="231">
        <f>MAX('Január-December'!P216:P246)</f>
        <v>1021.10986184039</v>
      </c>
      <c r="T10" s="209">
        <f>MIN('Január-December'!Q216:Q246)</f>
        <v>1002.51644200865</v>
      </c>
      <c r="U10" s="232">
        <f>IFERROR(AVERAGE('Január-December'!R216:R246),"")</f>
        <v>1014.2349618094698</v>
      </c>
      <c r="V10" s="220">
        <f>MAX('Január-December'!S216:S246)</f>
        <v>10.20000000816</v>
      </c>
      <c r="W10" s="221">
        <f>MAX('Január-December'!T216:T246)</f>
        <v>5.8400000046719995</v>
      </c>
      <c r="X10" s="221">
        <f>IFERROR(AVERAGE('Január-December'!U216:U246),"")</f>
        <v>0.9644265899466411</v>
      </c>
      <c r="Y10" s="221">
        <f>MAX('Január-December'!U216:U246)</f>
        <v>2.1620296205691423</v>
      </c>
      <c r="Z10" s="221">
        <f>MIN('Január-December'!U216:U246)</f>
        <v>0.59264492801034008</v>
      </c>
      <c r="AA10" s="238" t="s">
        <v>209</v>
      </c>
      <c r="AB10" s="222">
        <f>MAX('Január-December'!X216:X246)</f>
        <v>120</v>
      </c>
      <c r="AC10" s="223">
        <f>MAX('Január-December'!Y216:Y246)</f>
        <v>25.5</v>
      </c>
      <c r="AD10" s="224">
        <f>SUM('Január-December'!Y216:Y246)</f>
        <v>73.3</v>
      </c>
      <c r="AE10" s="225">
        <f>MAX('Január-December'!Z216:Z246)</f>
        <v>0</v>
      </c>
      <c r="AF10" s="226">
        <f>MAX('Január-December'!AA216:AA246)</f>
        <v>0</v>
      </c>
      <c r="AG10" s="227"/>
    </row>
    <row r="11" spans="1:33" s="228" customFormat="1" x14ac:dyDescent="0.3">
      <c r="A11" s="236" t="s">
        <v>31</v>
      </c>
      <c r="B11" s="229">
        <f>MAX('Január-December'!E247:E276)</f>
        <v>34.700000000000003</v>
      </c>
      <c r="C11" s="201">
        <f>MIN('Január-December'!F247:F276)</f>
        <v>2.2999999999999998</v>
      </c>
      <c r="D11" s="201">
        <f>MAX('Január-December'!G247:G276)</f>
        <v>23</v>
      </c>
      <c r="E11" s="201">
        <f>MIN('Január-December'!G247:G276)</f>
        <v>2.0999999999999996</v>
      </c>
      <c r="F11" s="201">
        <f>IFERROR(AVERAGE('Január-December'!H247:H276),"")</f>
        <v>16.301388888888887</v>
      </c>
      <c r="G11" s="201">
        <f>IFERROR(AVERAGE('Január-December'!I247:I276),"")</f>
        <v>16.721636776604733</v>
      </c>
      <c r="H11" s="201">
        <f>MAX('Január-December'!H247:H276)</f>
        <v>21.75</v>
      </c>
      <c r="I11" s="233">
        <f>MIN('Január-December'!H247:H276)</f>
        <v>8.875</v>
      </c>
      <c r="J11" s="202">
        <f>MAX('Január-December'!J247:J276)</f>
        <v>19.7054239813306</v>
      </c>
      <c r="K11" s="201">
        <f>MIN('Január-December'!K247:K276)</f>
        <v>1.7</v>
      </c>
      <c r="L11" s="203">
        <f>IFERROR(AVERAGE('Január-December'!L247:L276),"")</f>
        <v>11.976801798880766</v>
      </c>
      <c r="M11" s="204">
        <f>MAX('Január-December'!M247:M276)</f>
        <v>100</v>
      </c>
      <c r="N11" s="205">
        <f>COUNTIF('Január-December'!M247:M276,"&gt;95")</f>
        <v>26</v>
      </c>
      <c r="O11" s="206">
        <f>MIN('Január-December'!N247:N276)</f>
        <v>22</v>
      </c>
      <c r="P11" s="206">
        <f>IFERROR(AVERAGE('Január-December'!O247:O276),"")</f>
        <v>77.606726024120022</v>
      </c>
      <c r="Q11" s="206">
        <f>MAX('Január-December'!O247:O276)</f>
        <v>97.911875000000109</v>
      </c>
      <c r="R11" s="206">
        <f>MIN('Január-December'!O247:O276)</f>
        <v>59.740628166160064</v>
      </c>
      <c r="S11" s="231">
        <f>MAX('Január-December'!P247:P276)</f>
        <v>1027.39488547527</v>
      </c>
      <c r="T11" s="209">
        <f>MIN('Január-December'!Q247:Q276)</f>
        <v>1001.4948853237</v>
      </c>
      <c r="U11" s="232">
        <f>IFERROR(AVERAGE('Január-December'!R247:R276),"")</f>
        <v>1014.4057827648238</v>
      </c>
      <c r="V11" s="220">
        <f>MAX('Január-December'!S247:S276)</f>
        <v>13.30000001064</v>
      </c>
      <c r="W11" s="234">
        <f>MAX('Január-December'!T247:T276)</f>
        <v>7.9866666730559999</v>
      </c>
      <c r="X11" s="234">
        <f>IFERROR(AVERAGE('Január-December'!U247:U276),"")</f>
        <v>1.2534967384864815</v>
      </c>
      <c r="Y11" s="234">
        <f>MAX('Január-December'!U247:U276)</f>
        <v>3.3914486461240076</v>
      </c>
      <c r="Z11" s="234">
        <f>MIN('Január-December'!U247:U276)</f>
        <v>0.41278952701703792</v>
      </c>
      <c r="AA11" s="238" t="s">
        <v>209</v>
      </c>
      <c r="AB11" s="222">
        <f>MAX('Január-December'!X247:X276)</f>
        <v>144</v>
      </c>
      <c r="AC11" s="223">
        <f>MAX('Január-December'!Y247:Y276)</f>
        <v>34</v>
      </c>
      <c r="AD11" s="224">
        <f>SUM('Január-December'!Y247:Y276)</f>
        <v>97.2</v>
      </c>
      <c r="AE11" s="225">
        <f>MAX('Január-December'!Z247:Z276)</f>
        <v>0</v>
      </c>
      <c r="AF11" s="226">
        <f>MAX('Január-December'!AA277:AA307)</f>
        <v>0</v>
      </c>
      <c r="AG11" s="227"/>
    </row>
    <row r="12" spans="1:33" s="228" customFormat="1" x14ac:dyDescent="0.3">
      <c r="A12" s="236" t="s">
        <v>32</v>
      </c>
      <c r="B12" s="229">
        <f>MAX('Január-December'!E277:E307)</f>
        <v>20.9</v>
      </c>
      <c r="C12" s="201">
        <f>MIN('Január-December'!F277:F307)</f>
        <v>-2.5</v>
      </c>
      <c r="D12" s="201">
        <f>MAX('Január-December'!G277:G307)</f>
        <v>18.899999999999999</v>
      </c>
      <c r="E12" s="201">
        <f>MIN('Január-December'!G277:G307)</f>
        <v>1.6000000000000014</v>
      </c>
      <c r="F12" s="201">
        <f>IFERROR(AVERAGE('Január-December'!H277:H307),"")</f>
        <v>8.7661290322580641</v>
      </c>
      <c r="G12" s="201">
        <f>IFERROR(AVERAGE('Január-December'!I277:I307),"")</f>
        <v>8.9105967073634815</v>
      </c>
      <c r="H12" s="201">
        <f>MAX('Január-December'!H277:H307)</f>
        <v>15.225</v>
      </c>
      <c r="I12" s="233">
        <f>MIN('Január-December'!H277:H307)</f>
        <v>4.25</v>
      </c>
      <c r="J12" s="202">
        <f>MAX('Január-December'!J277:J307)</f>
        <v>16.7</v>
      </c>
      <c r="K12" s="201">
        <f>MIN('Január-December'!K277:K307)</f>
        <v>-3.3</v>
      </c>
      <c r="L12" s="203">
        <f>IFERROR(AVERAGE('Január-December'!L277:L307),"")</f>
        <v>7.2102489224376525</v>
      </c>
      <c r="M12" s="204">
        <f>MAX('Január-December'!M277:M307)</f>
        <v>100</v>
      </c>
      <c r="N12" s="205">
        <f>COUNTIF('Január-December'!M277:M307,"&gt;95")</f>
        <v>31</v>
      </c>
      <c r="O12" s="206">
        <f>MIN('Január-December'!N277:N307)</f>
        <v>44.2</v>
      </c>
      <c r="P12" s="206">
        <f>IFERROR(AVERAGE('Január-December'!O277:O307),"")</f>
        <v>90.219170114019818</v>
      </c>
      <c r="Q12" s="206">
        <f>MAX('Január-December'!O277:O307)</f>
        <v>100</v>
      </c>
      <c r="R12" s="206">
        <f>MIN('Január-December'!O277:O307)</f>
        <v>80.564722222222315</v>
      </c>
      <c r="S12" s="231">
        <f>MAX('Január-December'!P277:P307)</f>
        <v>1035.6902389166</v>
      </c>
      <c r="T12" s="209">
        <f>MIN('Január-December'!Q277:Q307)</f>
        <v>998.24250060972804</v>
      </c>
      <c r="U12" s="232">
        <f>IFERROR(AVERAGE('Január-December'!R277:R307),"")</f>
        <v>1019.9240937816484</v>
      </c>
      <c r="V12" s="220">
        <f>MAX('Január-December'!S277:S307)</f>
        <v>11.20000000896</v>
      </c>
      <c r="W12" s="234">
        <f>MAX('Január-December'!T277:T307)</f>
        <v>6.5700000052560004</v>
      </c>
      <c r="X12" s="234">
        <f>IFERROR(AVERAGE('Január-December'!U277:U307),"")</f>
        <v>0.98530778742859992</v>
      </c>
      <c r="Y12" s="234">
        <f>MAX('Január-December'!U277:U307)</f>
        <v>3.3173611137649921</v>
      </c>
      <c r="Z12" s="234">
        <f>MIN('Január-December'!U277:U307)</f>
        <v>0.18058852635614311</v>
      </c>
      <c r="AA12" s="238" t="s">
        <v>209</v>
      </c>
      <c r="AB12" s="222">
        <f>MAX('Január-December'!X277:X307)</f>
        <v>60</v>
      </c>
      <c r="AC12" s="223">
        <f>MAX('Január-December'!Y277:Y307)</f>
        <v>11</v>
      </c>
      <c r="AD12" s="224">
        <f>SUM('Január-December'!Y277:Y307)</f>
        <v>38.70000000000001</v>
      </c>
      <c r="AE12" s="225">
        <f>MAX('Január-December'!Z277:Z307)</f>
        <v>0</v>
      </c>
      <c r="AF12" s="226">
        <f>MAX('Január-December'!AA277:AA307)</f>
        <v>0</v>
      </c>
      <c r="AG12" s="227"/>
    </row>
    <row r="13" spans="1:33" s="228" customFormat="1" ht="14.4" customHeight="1" x14ac:dyDescent="0.3">
      <c r="A13" s="236" t="s">
        <v>33</v>
      </c>
      <c r="B13" s="229">
        <f>MAX('Január-December'!E308:E337)</f>
        <v>15.1</v>
      </c>
      <c r="C13" s="201">
        <f>MIN('Január-December'!F308:F337)</f>
        <v>-6.8</v>
      </c>
      <c r="D13" s="201">
        <f>MAX('Január-December'!G308:G337)</f>
        <v>17.899999999999999</v>
      </c>
      <c r="E13" s="201">
        <f>MIN('Január-December'!G308:G337)</f>
        <v>1.5</v>
      </c>
      <c r="F13" s="201">
        <f>IFERROR(AVERAGE('Január-December'!H308:H337),"")</f>
        <v>1.9283333333333332</v>
      </c>
      <c r="G13" s="201">
        <f>IFERROR(AVERAGE('Január-December'!I308:I337),"")</f>
        <v>1.8358074651782927</v>
      </c>
      <c r="H13" s="201">
        <f>MAX('Január-December'!H308:H337)</f>
        <v>8.0250000000000004</v>
      </c>
      <c r="I13" s="233">
        <f>MIN('Január-December'!H308:H337)</f>
        <v>-1.4249999999999998</v>
      </c>
      <c r="J13" s="202">
        <f>MAX('Január-December'!J308:J337)</f>
        <v>11.1</v>
      </c>
      <c r="K13" s="201">
        <f>MIN('Január-December'!K308:K337)</f>
        <v>-7.8</v>
      </c>
      <c r="L13" s="203">
        <f>IFERROR(AVERAGE('Január-December'!L308:L337),"")</f>
        <v>0.87921165423195313</v>
      </c>
      <c r="M13" s="204">
        <f>MAX('Január-December'!M308:M337)</f>
        <v>100</v>
      </c>
      <c r="N13" s="205">
        <f>COUNTIF('Január-December'!M308:M337,"&gt;95")</f>
        <v>30</v>
      </c>
      <c r="O13" s="206">
        <f>MIN('Január-December'!N308:N337)</f>
        <v>53.2</v>
      </c>
      <c r="P13" s="206">
        <f>IFERROR(AVERAGE('Január-December'!O308:O337),"")</f>
        <v>93.859549606605739</v>
      </c>
      <c r="Q13" s="206">
        <f>MAX('Január-December'!O308:O337)</f>
        <v>100</v>
      </c>
      <c r="R13" s="206">
        <f>MIN('Január-December'!O308:O337)</f>
        <v>85.002899575671805</v>
      </c>
      <c r="S13" s="231">
        <f>MAX('Január-December'!P308:P337)</f>
        <v>1035.8109999999999</v>
      </c>
      <c r="T13" s="209">
        <f>MIN('Január-December'!Q308:Q337)</f>
        <v>987.69600000000003</v>
      </c>
      <c r="U13" s="232">
        <f>IFERROR(AVERAGE('Január-December'!R308:R337),"")</f>
        <v>1022.0850085597905</v>
      </c>
      <c r="V13" s="220">
        <f>MAX('Január-December'!S308:S337)</f>
        <v>12.6</v>
      </c>
      <c r="W13" s="234">
        <f>MAX('Január-December'!T308:T337)</f>
        <v>7.738333299999999</v>
      </c>
      <c r="X13" s="234">
        <f>IFERROR(AVERAGE('Január-December'!U308:U337),"")</f>
        <v>1.3172975434252776</v>
      </c>
      <c r="Y13" s="234">
        <f>MAX('Január-December'!U308:U337)</f>
        <v>3.7716690857557795</v>
      </c>
      <c r="Z13" s="234">
        <f>MIN('Január-December'!U308:U337)</f>
        <v>0.29973391291727219</v>
      </c>
      <c r="AA13" s="238" t="s">
        <v>208</v>
      </c>
      <c r="AB13" s="222">
        <f>MAX('Január-December'!X308:X337)</f>
        <v>36</v>
      </c>
      <c r="AC13" s="223">
        <f>MAX('Január-December'!Y308:Y337)</f>
        <v>7</v>
      </c>
      <c r="AD13" s="224">
        <f>SUM('Január-December'!Y308:Y337)</f>
        <v>19.000000000000004</v>
      </c>
      <c r="AE13" s="225">
        <f>MAX('Január-December'!Z308:Z337)</f>
        <v>1</v>
      </c>
      <c r="AF13" s="226">
        <f>MAX('Január-December'!AA308:AA337)</f>
        <v>1</v>
      </c>
      <c r="AG13" s="227"/>
    </row>
    <row r="14" spans="1:33" s="228" customFormat="1" ht="15" thickBot="1" x14ac:dyDescent="0.35">
      <c r="A14" s="236" t="s">
        <v>34</v>
      </c>
      <c r="B14" s="229">
        <f>MAX('Január-December'!E338:E368)</f>
        <v>9.1999999999999993</v>
      </c>
      <c r="C14" s="201">
        <f>MIN('Január-December'!F338:F368)</f>
        <v>-6.2</v>
      </c>
      <c r="D14" s="201">
        <f>MAX('Január-December'!G338:G368)</f>
        <v>13.2</v>
      </c>
      <c r="E14" s="201">
        <f>MIN('Január-December'!G338:G368)</f>
        <v>0.79999999999999982</v>
      </c>
      <c r="F14" s="201">
        <f>IFERROR(AVERAGE('Január-December'!H338:H368),"")</f>
        <v>1.2629032258064514</v>
      </c>
      <c r="G14" s="201">
        <f>IFERROR(AVERAGE('Január-December'!I338:I368),"")</f>
        <v>1.1095993802471513</v>
      </c>
      <c r="H14" s="201">
        <f>MAX('Január-December'!H338:H368)</f>
        <v>4.8499999999999996</v>
      </c>
      <c r="I14" s="233">
        <f>MIN('Január-December'!H338:H368)</f>
        <v>-1.95</v>
      </c>
      <c r="J14" s="202">
        <f>MAX('Január-December'!J338:J368)</f>
        <v>6.5</v>
      </c>
      <c r="K14" s="201">
        <f>MIN('Január-December'!K338:K368)</f>
        <v>-6.5</v>
      </c>
      <c r="L14" s="203">
        <f>IFERROR(AVERAGE('Január-December'!L338:L368),"")</f>
        <v>0.5300568666217812</v>
      </c>
      <c r="M14" s="204">
        <f>MAX('Január-December'!M338:M368)</f>
        <v>100</v>
      </c>
      <c r="N14" s="205">
        <f>COUNTIF('Január-December'!M338:M368,"&gt;95")</f>
        <v>28</v>
      </c>
      <c r="O14" s="206">
        <f>MIN('Január-December'!N338:N368)</f>
        <v>66.099999999999994</v>
      </c>
      <c r="P14" s="206">
        <f>IFERROR(AVERAGE('Január-December'!O338:O368),"")</f>
        <v>96.11928348394251</v>
      </c>
      <c r="Q14" s="206">
        <f>MAX('Január-December'!O338:O368)</f>
        <v>100</v>
      </c>
      <c r="R14" s="206">
        <f>MIN('Január-December'!O338:O368)</f>
        <v>86.20701388888908</v>
      </c>
      <c r="S14" s="231">
        <f>MAX('Január-December'!P338:P368)</f>
        <v>1038.38924614607</v>
      </c>
      <c r="T14" s="209">
        <f>MIN('Január-December'!Q338:Q368)</f>
        <v>1002.33742270056</v>
      </c>
      <c r="U14" s="232">
        <f>IFERROR(AVERAGE('Január-December'!R338:R368),"")</f>
        <v>1021.9125059780249</v>
      </c>
      <c r="V14" s="220">
        <f>MAX('Január-December'!S338:S368)</f>
        <v>13.900000011119999</v>
      </c>
      <c r="W14" s="234">
        <f>MAX('Január-December'!T338:T368)</f>
        <v>8.2266666732480012</v>
      </c>
      <c r="X14" s="234">
        <f>IFERROR(AVERAGE('Január-December'!U338:U368),"")</f>
        <v>1.3744945072334747</v>
      </c>
      <c r="Y14" s="234">
        <f>MAX('Január-December'!U338:U368)</f>
        <v>3.2864372006967835</v>
      </c>
      <c r="Z14" s="234">
        <f>MIN('Január-December'!U338:U368)</f>
        <v>0.16028963427457388</v>
      </c>
      <c r="AA14" s="238" t="s">
        <v>208</v>
      </c>
      <c r="AB14" s="222">
        <f>MAX('Január-December'!X338:X368)</f>
        <v>24</v>
      </c>
      <c r="AC14" s="223">
        <f>MAX('Január-December'!Y338:Y368)</f>
        <v>7</v>
      </c>
      <c r="AD14" s="224">
        <f>SUM('Január-December'!Y338:Y368)</f>
        <v>20.2</v>
      </c>
      <c r="AE14" s="225">
        <f>MAX('Január-December'!Z338:Z368)</f>
        <v>7.5</v>
      </c>
      <c r="AF14" s="226">
        <f>MAX('Január-December'!AA338:AA368)</f>
        <v>7.5</v>
      </c>
      <c r="AG14" s="227"/>
    </row>
    <row r="15" spans="1:33" s="190" customFormat="1" ht="16.2" thickBot="1" x14ac:dyDescent="0.35">
      <c r="A15" s="178">
        <v>2021</v>
      </c>
      <c r="B15" s="179">
        <f>MAX(B3:B14)</f>
        <v>35.1</v>
      </c>
      <c r="C15" s="180">
        <f>MIN(C3:C14)</f>
        <v>-14</v>
      </c>
      <c r="D15" s="180">
        <f>MAX(D3:D14)</f>
        <v>27.1</v>
      </c>
      <c r="E15" s="180">
        <f>MIN(E3:E14)</f>
        <v>0.79999999999999982</v>
      </c>
      <c r="F15" s="180">
        <f>AVERAGE(F3:F14)</f>
        <v>10.944581659663001</v>
      </c>
      <c r="G15" s="180">
        <f>AVERAGE(G3:G14)</f>
        <v>11.057986959552458</v>
      </c>
      <c r="H15" s="180">
        <f>MAX(H3:H14)</f>
        <v>27.5</v>
      </c>
      <c r="I15" s="181">
        <f>MIN(I3:I14)</f>
        <v>-8.8500000000000014</v>
      </c>
      <c r="J15" s="179">
        <f>MAX(J3:J14)</f>
        <v>25.2</v>
      </c>
      <c r="K15" s="180">
        <f>MIN(K3:K14)</f>
        <v>-15.6</v>
      </c>
      <c r="L15" s="181">
        <f>AVERAGE(L3:L14)</f>
        <v>7.7032653803466404</v>
      </c>
      <c r="M15" s="182">
        <f>MAX(M3:M14)</f>
        <v>100</v>
      </c>
      <c r="N15" s="191">
        <f>SUM(N3:N14)</f>
        <v>304</v>
      </c>
      <c r="O15" s="183">
        <f>MIN(O3)</f>
        <v>55.1</v>
      </c>
      <c r="P15" s="183">
        <f>AVERAGE(P3:P14)</f>
        <v>82.728774074106298</v>
      </c>
      <c r="Q15" s="183">
        <f>MAX(Q3:Q14)</f>
        <v>100</v>
      </c>
      <c r="R15" s="184">
        <f>MIN(R3:R14)</f>
        <v>50.66356643356643</v>
      </c>
      <c r="S15" s="185">
        <f>MAX(S3:S14)</f>
        <v>1040.6175836689199</v>
      </c>
      <c r="T15" s="186">
        <f>MIN(T3:T14)</f>
        <v>987.69600000000003</v>
      </c>
      <c r="U15" s="193">
        <f>AVERAGE(U3:U14)</f>
        <v>1015.9836396641391</v>
      </c>
      <c r="V15" s="192">
        <f>MAX(V3:V14)</f>
        <v>14.600000011680001</v>
      </c>
      <c r="W15" s="187">
        <f>MAX(W3:W14)</f>
        <v>9.6633333410639999</v>
      </c>
      <c r="X15" s="187">
        <f>AVERAGE(X3:X14)</f>
        <v>1.3812475091435541</v>
      </c>
      <c r="Y15" s="187">
        <f>MAX(Y3:Y14)</f>
        <v>5.2188638060687698</v>
      </c>
      <c r="Z15" s="187">
        <f>MIN(Z3:Z14)</f>
        <v>0.16028963427457388</v>
      </c>
      <c r="AA15" s="239" t="s">
        <v>209</v>
      </c>
      <c r="AB15" s="194">
        <f>MAX(AB3:AB14)</f>
        <v>174</v>
      </c>
      <c r="AC15" s="188">
        <f>MAX(AC3:AC14)</f>
        <v>35</v>
      </c>
      <c r="AD15" s="188">
        <f>SUM(AD3:AD14)</f>
        <v>636.00000000000011</v>
      </c>
      <c r="AE15" s="189">
        <f>MAX(AE3:AE14)</f>
        <v>7.5</v>
      </c>
      <c r="AF15" s="189">
        <f>MAX(AF3:AF14)</f>
        <v>7.5</v>
      </c>
    </row>
    <row r="16" spans="1:33" ht="15.6" x14ac:dyDescent="0.3">
      <c r="A16" s="289"/>
      <c r="AD16" s="10"/>
    </row>
    <row r="17" spans="1:30" ht="15.6" x14ac:dyDescent="0.3">
      <c r="A17" s="289"/>
      <c r="AD17" s="10"/>
    </row>
    <row r="18" spans="1:30" ht="15.6" x14ac:dyDescent="0.3">
      <c r="A18" s="289"/>
      <c r="AD18" s="10"/>
    </row>
  </sheetData>
  <autoFilter ref="A3:A15" xr:uid="{00000000-0009-0000-0000-000002000000}">
    <filterColumn colId="0">
      <colorFilter dxfId="181"/>
    </filterColumn>
  </autoFilter>
  <mergeCells count="6">
    <mergeCell ref="AB1:AF1"/>
    <mergeCell ref="V1:AA1"/>
    <mergeCell ref="S1:U1"/>
    <mergeCell ref="J1:L1"/>
    <mergeCell ref="B1:I1"/>
    <mergeCell ref="M1:R1"/>
  </mergeCells>
  <conditionalFormatting sqref="B3:I14">
    <cfRule type="cellIs" dxfId="3" priority="14" operator="equal">
      <formula>0</formula>
    </cfRule>
  </conditionalFormatting>
  <conditionalFormatting sqref="J3:Z14 AB3:AF14">
    <cfRule type="cellIs" dxfId="2" priority="13" operator="equal">
      <formula>0</formula>
    </cfRule>
  </conditionalFormatting>
  <pageMargins left="0.7" right="0.7" top="0.75" bottom="0.75" header="0.3" footer="0.3"/>
  <pageSetup paperSize="9" orientation="portrait" r:id="rId1"/>
  <ignoredErrors>
    <ignoredError sqref="AD15" formula="1"/>
    <ignoredError sqref="S9:U9 F3:M3 F9:M9 S8:Z8 AB8:AF8 AB9:AF9 S10:U10 AB10:AF10 S11:Z11 AB11:AF11 F14:H14 G13 AB13:AF13 S14:Z14 AB14:AF14 S3:Z3 AB3:AF3 S5:Z5 AB5:AF5 S6:Z6 AB6:AF6 S7:Z7 AB7:AF7 S12:Z12 AB12:AF12 F5:M5 F6:M6 F7:M7 F8:M8 C6 C5 C3 B3 D3:E3 B5 D5:E5 B6 D6:E6 C15 E15 B7:C7 B8:C8 B9:C9 B10:C10 B11:C11 B13:C13 B12:C12 B14:C14 F12:H12 F11:M11 F10:M10 O6:R6 O3:R3 O5:R5 O7:R7 O8:R8 O9:R9 O10:R10 O11:R11 O12:R12 O13:Z13 O14:R14 V9:Z9 V10:Z10 N3 J13:M13 J12:M12 J14:M14 D7:E7 N5:N14 B4:Z4 AB4:AF4" formulaRange="1"/>
    <ignoredError sqref="D15" formula="1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5"/>
  <sheetViews>
    <sheetView zoomScale="85" zoomScaleNormal="85" workbookViewId="0">
      <selection activeCell="O22" sqref="O22"/>
    </sheetView>
  </sheetViews>
  <sheetFormatPr defaultRowHeight="14.4" x14ac:dyDescent="0.3"/>
  <cols>
    <col min="1" max="1" width="11.109375" customWidth="1"/>
    <col min="8" max="14" width="7.77734375" customWidth="1"/>
    <col min="15" max="16" width="7.5546875" customWidth="1"/>
    <col min="17" max="17" width="11.5546875" customWidth="1"/>
    <col min="18" max="18" width="11.109375" customWidth="1"/>
    <col min="20" max="20" width="12" customWidth="1"/>
    <col min="21" max="21" width="12.21875" customWidth="1"/>
    <col min="23" max="23" width="10.109375" customWidth="1"/>
    <col min="25" max="25" width="12" customWidth="1"/>
    <col min="26" max="26" width="10.5546875" customWidth="1"/>
    <col min="29" max="29" width="10.109375" customWidth="1"/>
  </cols>
  <sheetData>
    <row r="1" spans="1:30" s="249" customFormat="1" ht="16.5" customHeight="1" thickBot="1" x14ac:dyDescent="0.35">
      <c r="A1" s="512" t="s">
        <v>1</v>
      </c>
      <c r="B1" s="514" t="s">
        <v>102</v>
      </c>
      <c r="C1" s="515"/>
      <c r="D1" s="515"/>
      <c r="E1" s="515"/>
      <c r="F1" s="515"/>
      <c r="G1" s="516"/>
      <c r="H1" s="517" t="s">
        <v>101</v>
      </c>
      <c r="I1" s="518"/>
      <c r="J1" s="518"/>
      <c r="K1" s="518"/>
      <c r="L1" s="519"/>
      <c r="M1" s="507" t="s">
        <v>205</v>
      </c>
      <c r="N1" s="507"/>
      <c r="O1" s="507"/>
      <c r="P1" s="507"/>
      <c r="Q1" s="507"/>
      <c r="R1" s="508"/>
      <c r="S1" s="520" t="s">
        <v>14</v>
      </c>
      <c r="T1" s="521"/>
      <c r="U1" s="521"/>
      <c r="V1" s="521"/>
      <c r="W1" s="521"/>
      <c r="X1" s="521"/>
      <c r="Y1" s="522"/>
      <c r="Z1" s="509" t="s">
        <v>194</v>
      </c>
      <c r="AA1" s="510"/>
      <c r="AB1" s="510"/>
      <c r="AC1" s="511"/>
      <c r="AD1" s="251"/>
    </row>
    <row r="2" spans="1:30" s="195" customFormat="1" ht="45.75" customHeight="1" thickBot="1" x14ac:dyDescent="0.35">
      <c r="A2" s="513"/>
      <c r="B2" s="245" t="s">
        <v>100</v>
      </c>
      <c r="C2" s="246" t="s">
        <v>99</v>
      </c>
      <c r="D2" s="246" t="s">
        <v>98</v>
      </c>
      <c r="E2" s="246" t="s">
        <v>96</v>
      </c>
      <c r="F2" s="247" t="s">
        <v>97</v>
      </c>
      <c r="G2" s="247" t="s">
        <v>95</v>
      </c>
      <c r="H2" s="245" t="s">
        <v>176</v>
      </c>
      <c r="I2" s="195" t="s">
        <v>115</v>
      </c>
      <c r="J2" s="248" t="s">
        <v>114</v>
      </c>
      <c r="K2" s="248" t="s">
        <v>113</v>
      </c>
      <c r="L2" s="247" t="s">
        <v>103</v>
      </c>
      <c r="M2" s="327" t="s">
        <v>206</v>
      </c>
      <c r="N2" s="287" t="s">
        <v>197</v>
      </c>
      <c r="O2" s="285" t="s">
        <v>177</v>
      </c>
      <c r="P2" s="287" t="s">
        <v>189</v>
      </c>
      <c r="Q2" s="288" t="s">
        <v>204</v>
      </c>
      <c r="R2" s="286" t="s">
        <v>185</v>
      </c>
      <c r="S2" s="329" t="s">
        <v>184</v>
      </c>
      <c r="T2" s="151" t="s">
        <v>183</v>
      </c>
      <c r="U2" s="150" t="s">
        <v>182</v>
      </c>
      <c r="V2" s="252" t="s">
        <v>181</v>
      </c>
      <c r="W2" s="79" t="s">
        <v>188</v>
      </c>
      <c r="X2" s="79" t="s">
        <v>180</v>
      </c>
      <c r="Y2" s="330" t="s">
        <v>207</v>
      </c>
      <c r="Z2" s="328" t="s">
        <v>187</v>
      </c>
      <c r="AA2" s="152" t="s">
        <v>191</v>
      </c>
      <c r="AB2" s="153" t="s">
        <v>193</v>
      </c>
      <c r="AC2" s="243" t="s">
        <v>192</v>
      </c>
      <c r="AD2" s="250"/>
    </row>
    <row r="3" spans="1:30" s="69" customFormat="1" x14ac:dyDescent="0.3">
      <c r="A3" s="69" t="s">
        <v>23</v>
      </c>
      <c r="B3" s="69">
        <f>COUNTIF('Január-December'!E3:E33,"&lt;=-10")</f>
        <v>0</v>
      </c>
      <c r="C3" s="69">
        <f>COUNTIF('Január-December'!E3:E33,"&lt;=-0.1")</f>
        <v>7</v>
      </c>
      <c r="D3" s="69">
        <f>COUNTIF('Január-December'!F3:F33,"&lt;=0")</f>
        <v>23</v>
      </c>
      <c r="E3" s="69">
        <f>COUNTIF('Január-December'!E3:E33,"&gt;="&amp;25)</f>
        <v>0</v>
      </c>
      <c r="F3" s="69">
        <f>COUNTIF('Január-December'!E3:E33,"&gt;=30")</f>
        <v>0</v>
      </c>
      <c r="G3" s="69">
        <f>COUNTIF('Január-December'!AB3:AB33,"*tropická noc*")</f>
        <v>0</v>
      </c>
      <c r="H3" s="69">
        <f>COUNTIF(búrky!E5:E7,"*w*")</f>
        <v>0</v>
      </c>
      <c r="I3" s="69">
        <f>COUNTIF(búrky!E5:E7,"*P*")</f>
        <v>0</v>
      </c>
      <c r="J3" s="69">
        <f>COUNTIF(búrky!E5:E7,"*L*")</f>
        <v>0</v>
      </c>
      <c r="K3" s="78">
        <f>COUNTIF(búrky!E5:E7,"*V*")</f>
        <v>0</v>
      </c>
      <c r="L3" s="76">
        <f>SUM(I3:K3)</f>
        <v>0</v>
      </c>
      <c r="M3" s="76">
        <f>COUNTIF('Január-December'!AB3:AB33,"*zákal*")</f>
        <v>0</v>
      </c>
      <c r="N3" s="76">
        <f>COUNTIF('Január-December'!AB3:AB33,"*dymno*")</f>
        <v>2</v>
      </c>
      <c r="O3" s="69">
        <f>COUNTIF('Január-December'!AB3:AB33,"*hmla*")</f>
        <v>2</v>
      </c>
      <c r="P3" s="76">
        <f>COUNTIF('Január-December'!AB3:AB33,"*slnečný deň*")</f>
        <v>4</v>
      </c>
      <c r="Q3" s="76">
        <f>COUNTIF('Január-December'!AB3:AB33,"*0/8*")</f>
        <v>2</v>
      </c>
      <c r="R3" s="76">
        <f>COUNTIF('Január-December'!AB3:AB33,"*8/8*")</f>
        <v>10</v>
      </c>
      <c r="S3" s="69">
        <f t="shared" ref="S3:S14" si="0">SUM(T3,U3)</f>
        <v>20</v>
      </c>
      <c r="T3" s="76">
        <f>COUNTIF('Január-December'!W3:W33,"*N*")</f>
        <v>5</v>
      </c>
      <c r="U3" s="76">
        <f>COUNTIF('Január-December'!W3:W33,"*Z*")</f>
        <v>15</v>
      </c>
      <c r="V3" s="69">
        <f>COUNTIF('Január-December'!W3:W33,"*D*")</f>
        <v>11</v>
      </c>
      <c r="W3" s="69">
        <f>COUNTIF('Január-December'!W3:W33,"*K*")</f>
        <v>0</v>
      </c>
      <c r="X3" s="69">
        <f>COUNTIF('Január-December'!W3:W33,"*S*")</f>
        <v>14</v>
      </c>
      <c r="Y3" s="69">
        <f>COUNTIF('Január-December'!W2:W32,"*U*")</f>
        <v>0</v>
      </c>
      <c r="Z3" s="69">
        <f>SUM(AA3:AC3)</f>
        <v>18</v>
      </c>
      <c r="AA3" s="69">
        <f>COUNTIF('Január-December'!AB3:AB33,"*SSP*")</f>
        <v>6</v>
      </c>
      <c r="AB3" s="69">
        <f>COUNTIF('Január-December'!AB3:AB33,"*NSP*")</f>
        <v>2</v>
      </c>
      <c r="AC3" s="69">
        <f>COUNTIF('Január-December'!AB3:AB33,"*poprašok*")</f>
        <v>10</v>
      </c>
    </row>
    <row r="4" spans="1:30" s="69" customFormat="1" x14ac:dyDescent="0.3">
      <c r="A4" s="64" t="s">
        <v>24</v>
      </c>
      <c r="B4" s="69">
        <f>COUNTIF('Január-December'!E34:E62,"&lt;=-10")</f>
        <v>0</v>
      </c>
      <c r="C4" s="69">
        <f>COUNTIF('Január-December'!E34:E62,"&lt;=-0.1")</f>
        <v>0</v>
      </c>
      <c r="D4" s="69">
        <f>COUNTIF('Január-December'!F34:F62,"&lt;=0")</f>
        <v>11</v>
      </c>
      <c r="E4" s="69">
        <f>COUNTIF('Január-December'!E34:E62,"&gt;="&amp;25)</f>
        <v>0</v>
      </c>
      <c r="F4" s="69">
        <f>COUNTIF('Január-December'!E34:E62,"&gt;=30")</f>
        <v>0</v>
      </c>
      <c r="G4" s="69">
        <f>COUNTIF('Január-December'!AB34:AB62,"*tropická noc*")</f>
        <v>0</v>
      </c>
      <c r="H4" s="69">
        <f>COUNTIF(búrky!E19:E21,"*w*")</f>
        <v>0</v>
      </c>
      <c r="I4" s="69">
        <f>COUNTIF(búrky!E19:E21,"*P*")</f>
        <v>0</v>
      </c>
      <c r="J4" s="69">
        <f>COUNTIF(búrky!E19:E21,"*L*")</f>
        <v>0</v>
      </c>
      <c r="K4" s="69">
        <f>COUNTIF(búrky!E19:E21,"*V*")</f>
        <v>0</v>
      </c>
      <c r="L4" s="76">
        <f t="shared" ref="L4:L14" si="1">SUM(I4:K4)</f>
        <v>0</v>
      </c>
      <c r="M4" s="69">
        <f>COUNTIF('Január-December'!AB34:AB62,"*zákal*")</f>
        <v>0</v>
      </c>
      <c r="N4" s="69">
        <f>COUNTIF('Január-December'!AB34:AB62,"*dymno*")</f>
        <v>6</v>
      </c>
      <c r="O4" s="69">
        <f>COUNTIF('Január-December'!AB34:AB62,"*hmla*")</f>
        <v>10</v>
      </c>
      <c r="P4" s="69">
        <f>COUNTIF('Január-December'!AB34:AB62,"*slnečný deň*")</f>
        <v>2</v>
      </c>
      <c r="Q4" s="254">
        <f>COUNTIF('Január-December'!AB34:AB62,"*0/8*")</f>
        <v>0</v>
      </c>
      <c r="R4" s="254">
        <f>COUNTIF('Január-December'!AB34:AB62,"*8/8*")</f>
        <v>10</v>
      </c>
      <c r="S4" s="69">
        <f t="shared" si="0"/>
        <v>18</v>
      </c>
      <c r="T4" s="254">
        <f>COUNTIF('Január-December'!W34:W62,"*N*")</f>
        <v>3</v>
      </c>
      <c r="U4" s="254">
        <f>COUNTIF('Január-December'!W34:W62,"*Z*")</f>
        <v>15</v>
      </c>
      <c r="V4" s="69">
        <f>COUNTIF('Január-December'!W34:W62,"*D*")</f>
        <v>16</v>
      </c>
      <c r="W4" s="69">
        <f>COUNTIF('Január-December'!W34:W62,"*K*")</f>
        <v>0</v>
      </c>
      <c r="X4" s="69">
        <f>COUNTIF('Január-December'!W34:W62,"*S*")</f>
        <v>3</v>
      </c>
      <c r="Y4" s="69">
        <f>COUNTIF('Január-December'!W33:W62,"*U*")</f>
        <v>0</v>
      </c>
      <c r="Z4" s="69">
        <f t="shared" ref="Z4:Z14" si="2">SUM(AA4:AC4)</f>
        <v>2</v>
      </c>
      <c r="AA4" s="69">
        <f>COUNTIF('Január-December'!AB34:AB62,"*SSP*")</f>
        <v>1</v>
      </c>
      <c r="AB4" s="69">
        <f>COUNTIF('Január-December'!AB34:AB62,"*NSP*")</f>
        <v>0</v>
      </c>
      <c r="AC4" s="69">
        <f>COUNTIF('Január-December'!AB34:AB62,"*poprašok*")</f>
        <v>1</v>
      </c>
    </row>
    <row r="5" spans="1:30" s="69" customFormat="1" x14ac:dyDescent="0.3">
      <c r="A5" s="64" t="s">
        <v>25</v>
      </c>
      <c r="B5" s="69">
        <f>COUNTIF('Január-December'!E63:E93,"&lt;=-10")</f>
        <v>0</v>
      </c>
      <c r="C5" s="69">
        <f>COUNTIF('Január-December'!E63:E93,"&lt;=-0.1")</f>
        <v>0</v>
      </c>
      <c r="D5" s="69">
        <f>COUNTIF('Január-December'!F63:F93,"&lt;=0")</f>
        <v>13</v>
      </c>
      <c r="E5" s="69">
        <f>COUNTIF('Január-December'!E63:E93,"&gt;="&amp;25)</f>
        <v>0</v>
      </c>
      <c r="F5" s="69">
        <f>COUNTIF('Január-December'!E63:E93,"&gt;=30")</f>
        <v>0</v>
      </c>
      <c r="G5" s="69">
        <f>COUNTIF('Január-December'!AB63:AB93,"*tropická noc*")</f>
        <v>0</v>
      </c>
      <c r="H5" s="69">
        <f>COUNTIF(búrky!E33:E36,"*w*")</f>
        <v>1</v>
      </c>
      <c r="I5" s="69">
        <f>COUNTIF(búrky!E33:E36,"*P*")</f>
        <v>1</v>
      </c>
      <c r="J5" s="64">
        <f>COUNTIF(búrky!E33:E36,"*L*")</f>
        <v>0</v>
      </c>
      <c r="K5" s="74">
        <f>COUNTIF(búrky!E33:E36,"*V*")</f>
        <v>0</v>
      </c>
      <c r="L5" s="76">
        <f>SUM(I5:K5)</f>
        <v>1</v>
      </c>
      <c r="M5" s="69">
        <f>COUNTIF('Január-December'!AB63:AB93,"*zákal*")</f>
        <v>2</v>
      </c>
      <c r="N5" s="69">
        <f>COUNTIF('Január-December'!AB63:AB93,"*dymno*")</f>
        <v>1</v>
      </c>
      <c r="O5" s="69">
        <f>COUNTIF('Január-December'!AB63:AB93,"*hmla*")</f>
        <v>5</v>
      </c>
      <c r="P5" s="69">
        <f>COUNTIF('Január-December'!AB63:AB93,"*slnečný deň*")</f>
        <v>1</v>
      </c>
      <c r="Q5" s="254">
        <f>COUNTIF('Január-December'!AB63:AB93,"*0/8*")</f>
        <v>0</v>
      </c>
      <c r="R5" s="254">
        <f>COUNTIF('Január-December'!AB63:AB93,"*8/8*")</f>
        <v>7</v>
      </c>
      <c r="S5" s="69">
        <f t="shared" si="0"/>
        <v>20</v>
      </c>
      <c r="T5" s="254">
        <f>COUNTIF('Január-December'!W63:W93,"*N*")</f>
        <v>6</v>
      </c>
      <c r="U5" s="254">
        <f>COUNTIF('Január-December'!W63:W93,"*Z*")</f>
        <v>14</v>
      </c>
      <c r="V5" s="69">
        <f>COUNTIF('Január-December'!W63:W93,"*D*")</f>
        <v>20</v>
      </c>
      <c r="W5" s="69">
        <f>COUNTIF('Január-December'!W63:W93,"*K*")</f>
        <v>1</v>
      </c>
      <c r="X5" s="69">
        <f>COUNTIF('Január-December'!W63:W93,"*S*")</f>
        <v>2</v>
      </c>
      <c r="Y5" s="69">
        <f>COUNTIF('Január-December'!W63:W92,"*U*")</f>
        <v>0</v>
      </c>
      <c r="Z5" s="69">
        <f t="shared" si="2"/>
        <v>0</v>
      </c>
      <c r="AA5" s="69">
        <f>COUNTIF('Január-December'!AB63:AB93,"*SSP*")</f>
        <v>0</v>
      </c>
      <c r="AB5" s="69">
        <f>COUNTIF('Január-December'!AB63:AB93,"*NSP*")</f>
        <v>0</v>
      </c>
      <c r="AC5" s="69">
        <f>COUNTIF('Január-December'!AB63:AB93,"*poprašok*")</f>
        <v>0</v>
      </c>
    </row>
    <row r="6" spans="1:30" s="69" customFormat="1" x14ac:dyDescent="0.3">
      <c r="A6" s="64" t="s">
        <v>26</v>
      </c>
      <c r="B6" s="69">
        <f>COUNTIF('Január-December'!E94:E123,"&lt;=-10")</f>
        <v>0</v>
      </c>
      <c r="C6" s="69">
        <f>COUNTIF('Január-December'!E94:E123,"&lt;=-0.1")</f>
        <v>0</v>
      </c>
      <c r="D6" s="69">
        <f>COUNTIF('Január-December'!F94:F123,"&lt;=0")</f>
        <v>2</v>
      </c>
      <c r="E6" s="69">
        <f>COUNTIF('Január-December'!E94:E123,"&gt;="&amp;25)</f>
        <v>4</v>
      </c>
      <c r="F6" s="69">
        <f>COUNTIF('Január-December'!E94:E123,"&gt;=30")</f>
        <v>0</v>
      </c>
      <c r="G6" s="69">
        <f>COUNTIF('Január-December'!AB94:AB123,"*tropická noc*")</f>
        <v>0</v>
      </c>
      <c r="H6" s="69">
        <f>COUNTIF(búrky!E48:E54,"*w*")</f>
        <v>1</v>
      </c>
      <c r="I6" s="69">
        <f>COUNTIF(búrky!E48:E54,"*P*")</f>
        <v>0</v>
      </c>
      <c r="J6" s="64">
        <f>COUNTIF(búrky!E48:E54,"*L*")</f>
        <v>1</v>
      </c>
      <c r="K6" s="74">
        <f>COUNTIF(búrky!E48:E54,"*V*")</f>
        <v>0</v>
      </c>
      <c r="L6" s="76">
        <f>SUM(I6:K6)</f>
        <v>1</v>
      </c>
      <c r="M6" s="69">
        <f>COUNTIF('Január-December'!AB94:AB123,"*zákal*")</f>
        <v>1</v>
      </c>
      <c r="N6" s="69">
        <f>COUNTIF('Január-December'!AB94:AB123,"*dymno*")</f>
        <v>3</v>
      </c>
      <c r="O6" s="69">
        <f>COUNTIF('Január-December'!AB94:AB123,"*hmla*")</f>
        <v>5</v>
      </c>
      <c r="P6" s="69">
        <f>COUNTIF('Január-December'!AB94:AB123,"*slnečný deň*")</f>
        <v>3</v>
      </c>
      <c r="Q6" s="254">
        <f>COUNTIF('Január-December'!AB94:AB123,"*0/8*")</f>
        <v>0</v>
      </c>
      <c r="R6" s="254">
        <f>COUNTIF('Január-December'!AB94:AB123,"*8/8*")</f>
        <v>5</v>
      </c>
      <c r="S6" s="69">
        <f t="shared" si="0"/>
        <v>13</v>
      </c>
      <c r="T6" s="254">
        <f>COUNTIF('Január-December'!W94:W123,"*N*")</f>
        <v>3</v>
      </c>
      <c r="U6" s="254">
        <f>COUNTIF('Január-December'!W94:W123,"*Z*")</f>
        <v>10</v>
      </c>
      <c r="V6" s="69">
        <f>COUNTIF('Január-December'!W94:W123,"*D*")</f>
        <v>13</v>
      </c>
      <c r="W6" s="69">
        <f>COUNTIF('Január-December'!W94:W123,"*K*")</f>
        <v>0</v>
      </c>
      <c r="X6" s="69">
        <f>COUNTIF('Január-December'!W94:W123,"*S*")</f>
        <v>1</v>
      </c>
      <c r="Y6" s="69">
        <f>COUNTIF('Január-December'!W94:W123,"*U*")</f>
        <v>0</v>
      </c>
      <c r="Z6" s="69">
        <f t="shared" si="2"/>
        <v>0</v>
      </c>
      <c r="AA6" s="69">
        <f>COUNTIF('Január-December'!AB94:AB123,"*SSP*")</f>
        <v>0</v>
      </c>
      <c r="AB6" s="69">
        <f>COUNTIF('Január-December'!AB94:AB123,"*NSP*")</f>
        <v>0</v>
      </c>
      <c r="AC6" s="69">
        <f>COUNTIF('Január-December'!AB94:AB123,"*poprašok*")</f>
        <v>0</v>
      </c>
    </row>
    <row r="7" spans="1:30" s="69" customFormat="1" x14ac:dyDescent="0.3">
      <c r="A7" s="64" t="s">
        <v>27</v>
      </c>
      <c r="B7" s="69">
        <f>COUNTIF('Január-December'!E124:E154,"&lt;=-10")</f>
        <v>0</v>
      </c>
      <c r="C7" s="69">
        <f>COUNTIF('Január-December'!E124:E154,"&lt;=-0.1")</f>
        <v>0</v>
      </c>
      <c r="D7" s="69">
        <f>COUNTIF('Január-December'!F124:F154,"&lt;=0")</f>
        <v>1</v>
      </c>
      <c r="E7" s="69">
        <f>COUNTIF('Január-December'!E124:E154,"&gt;="&amp;25)</f>
        <v>17</v>
      </c>
      <c r="F7" s="69">
        <f>COUNTIF('Január-December'!E124:E154,"&gt;=30")</f>
        <v>0</v>
      </c>
      <c r="G7" s="69">
        <f>COUNTIF('Január-December'!AB124:AB154,"*tropická noc*")</f>
        <v>0</v>
      </c>
      <c r="H7" s="69">
        <f>COUNTIF(búrky!E66:E74,"*w*")</f>
        <v>3</v>
      </c>
      <c r="I7" s="69">
        <f>COUNTIF(búrky!E66:E74,"*P*")</f>
        <v>2</v>
      </c>
      <c r="J7" s="64">
        <f>COUNTIF(búrky!E66:E74,"*L*")</f>
        <v>0</v>
      </c>
      <c r="K7" s="74">
        <f>COUNTIF(búrky!E66:E74,"*V*")</f>
        <v>2</v>
      </c>
      <c r="L7" s="76">
        <f t="shared" si="1"/>
        <v>4</v>
      </c>
      <c r="M7" s="69">
        <f>COUNTIF('Január-December'!AB124:AB154,"*zákal*")</f>
        <v>0</v>
      </c>
      <c r="N7" s="69">
        <f>COUNTIF('Január-December'!AB124:AB154,"*dymno*")</f>
        <v>0</v>
      </c>
      <c r="O7" s="69">
        <f>COUNTIF('Január-December'!AB124:AB154,"*hmla*")</f>
        <v>9</v>
      </c>
      <c r="P7" s="69">
        <f>COUNTIF('Január-December'!AB124:AB154,"*slnečný deň*")</f>
        <v>8</v>
      </c>
      <c r="Q7" s="254">
        <f>COUNTIF('Január-December'!AB124:AB154,"*0/8*")</f>
        <v>0</v>
      </c>
      <c r="R7" s="254">
        <f>COUNTIF('Január-December'!AB124:AB154,"*8/8*")</f>
        <v>0</v>
      </c>
      <c r="S7" s="69">
        <f t="shared" si="0"/>
        <v>12</v>
      </c>
      <c r="T7" s="254">
        <f>COUNTIF('Január-December'!W124:W154,"*N*")</f>
        <v>2</v>
      </c>
      <c r="U7" s="254">
        <f>COUNTIF('Január-December'!W124:W154,"*Z*")</f>
        <v>10</v>
      </c>
      <c r="V7" s="69">
        <f>COUNTIF('Január-December'!W124:W154,"*D*")</f>
        <v>12</v>
      </c>
      <c r="W7" s="69">
        <f>COUNTIF('Január-December'!W124:W154,"*K*")</f>
        <v>0</v>
      </c>
      <c r="X7" s="69">
        <f>COUNTIF('Január-December'!W124:W154,"*S*")</f>
        <v>0</v>
      </c>
      <c r="Y7" s="69">
        <f>COUNTIF('Január-December'!W124:W154,"*U*")</f>
        <v>0</v>
      </c>
      <c r="Z7" s="69">
        <f t="shared" si="2"/>
        <v>0</v>
      </c>
      <c r="AA7" s="69">
        <f>COUNTIF('Január-December'!AB124:AB154,"*SSP*")</f>
        <v>0</v>
      </c>
      <c r="AB7" s="69">
        <f>COUNTIF('Január-December'!AB124:AB154,"*NSP*")</f>
        <v>0</v>
      </c>
      <c r="AC7" s="69">
        <f>COUNTIF('Január-December'!AB124:AB154,"*poprašok*")</f>
        <v>0</v>
      </c>
    </row>
    <row r="8" spans="1:30" s="69" customFormat="1" x14ac:dyDescent="0.3">
      <c r="A8" s="64" t="s">
        <v>28</v>
      </c>
      <c r="B8" s="69">
        <f>COUNTIF('Január-December'!E155:E184,"&lt;=-10")</f>
        <v>0</v>
      </c>
      <c r="C8" s="69">
        <f>COUNTIF('Január-December'!E155:E184,"&lt;=-0.1")</f>
        <v>0</v>
      </c>
      <c r="D8" s="69">
        <f>COUNTIF('Január-December'!F155:F184,"&lt;=0")</f>
        <v>0</v>
      </c>
      <c r="E8" s="69">
        <f>COUNTIF('Január-December'!E155:E184,"&gt;="&amp;25)</f>
        <v>21</v>
      </c>
      <c r="F8" s="69">
        <f>COUNTIF('Január-December'!E155:E184,"&gt;=30")</f>
        <v>8</v>
      </c>
      <c r="G8" s="69">
        <f>COUNTIF('Január-December'!AB155:AB184,"*tropická noc*")</f>
        <v>1</v>
      </c>
      <c r="H8" s="69">
        <f>COUNTIF(búrky!E86:E104,"*w*")</f>
        <v>7</v>
      </c>
      <c r="I8" s="69">
        <f>COUNTIF(búrky!E86:E104,"*P*")</f>
        <v>5</v>
      </c>
      <c r="J8" s="64">
        <f>COUNTIF(búrky!E86:E104,"*L*")</f>
        <v>2</v>
      </c>
      <c r="K8" s="74">
        <f>COUNTIF(búrky!E86:E104,"*V*")</f>
        <v>2</v>
      </c>
      <c r="L8" s="76">
        <f t="shared" si="1"/>
        <v>9</v>
      </c>
      <c r="M8" s="69">
        <f>COUNTIF('Január-December'!AB155:AB184,"*zákal*")</f>
        <v>0</v>
      </c>
      <c r="N8" s="69">
        <f>COUNTIF('Január-December'!AB155:AB184,"*dymno*")</f>
        <v>3</v>
      </c>
      <c r="O8" s="69">
        <f>COUNTIF('Január-December'!AB155:AB184,"*hmla*")</f>
        <v>8</v>
      </c>
      <c r="P8" s="69">
        <f>COUNTIF('Január-December'!AB155:AB184,"*slnečný deň*")</f>
        <v>4</v>
      </c>
      <c r="Q8" s="254">
        <f>COUNTIF('Január-December'!AB155:AB184,"*0/8*")</f>
        <v>0</v>
      </c>
      <c r="R8" s="254">
        <f>COUNTIF('Január-December'!AB155:AB184,"*8/8*")</f>
        <v>2</v>
      </c>
      <c r="S8" s="69">
        <f t="shared" si="0"/>
        <v>16</v>
      </c>
      <c r="T8" s="254">
        <f>COUNTIF('Január-December'!W155:W184,"*N*")</f>
        <v>3</v>
      </c>
      <c r="U8" s="254">
        <f>COUNTIF('Január-December'!W155:W184,"*Z*")</f>
        <v>13</v>
      </c>
      <c r="V8" s="69">
        <f>COUNTIF('Január-December'!W155:W184,"*D*")</f>
        <v>16</v>
      </c>
      <c r="W8" s="69">
        <f>COUNTIF('Január-December'!W155:W184,"*K*")</f>
        <v>0</v>
      </c>
      <c r="X8" s="69">
        <f>COUNTIF('Január-December'!W155:W184,"*S*")</f>
        <v>0</v>
      </c>
      <c r="Y8" s="69">
        <f>COUNTIF('Január-December'!W154:W183,"*U*")</f>
        <v>0</v>
      </c>
      <c r="Z8" s="69">
        <f t="shared" si="2"/>
        <v>0</v>
      </c>
      <c r="AA8" s="69">
        <f>COUNTIF('Január-December'!AB155:AB184,"*SSP*")</f>
        <v>0</v>
      </c>
      <c r="AB8" s="69">
        <f>COUNTIF('Január-December'!AB155:AB184,"*NSP*")</f>
        <v>0</v>
      </c>
      <c r="AC8" s="69">
        <f>COUNTIF('Január-December'!AB155:AB184,"*poprašok*")</f>
        <v>0</v>
      </c>
    </row>
    <row r="9" spans="1:30" s="69" customFormat="1" x14ac:dyDescent="0.3">
      <c r="A9" s="64" t="s">
        <v>29</v>
      </c>
      <c r="B9" s="69">
        <f>COUNTIF('Január-December'!E185:E215,"&lt;=-10")</f>
        <v>0</v>
      </c>
      <c r="C9" s="69">
        <f>COUNTIF('Január-December'!E185:E215,"&lt;=-0.1")</f>
        <v>0</v>
      </c>
      <c r="D9" s="69">
        <f>COUNTIF('Január-December'!F185:F215,"&lt;=0")</f>
        <v>0</v>
      </c>
      <c r="E9" s="69">
        <f>COUNTIF('Január-December'!E185:E215,"&gt;="&amp;25)</f>
        <v>29</v>
      </c>
      <c r="F9" s="69">
        <f>COUNTIF('Január-December'!E185:E215,"&gt;=30")</f>
        <v>17</v>
      </c>
      <c r="G9" s="69">
        <f>COUNTIF('Január-December'!AB185:AB215,"*tropická noc*")</f>
        <v>2</v>
      </c>
      <c r="H9" s="69">
        <f>COUNTIF(búrky!E116:E137,"*w*")</f>
        <v>8</v>
      </c>
      <c r="I9" s="69">
        <f>COUNTIF(búrky!E116:E137,"*P*")</f>
        <v>8</v>
      </c>
      <c r="J9" s="64">
        <f>COUNTIF(búrky!E116:E137,"*L*")</f>
        <v>1</v>
      </c>
      <c r="K9" s="74">
        <f>COUNTIF(búrky!E116:E137,"*V*")</f>
        <v>2</v>
      </c>
      <c r="L9" s="76">
        <f>SUM(I9:K9)</f>
        <v>11</v>
      </c>
      <c r="M9" s="69">
        <f>COUNTIF('Január-December'!AB185:AB215,"*zákal*")</f>
        <v>0</v>
      </c>
      <c r="N9" s="69">
        <f>COUNTIF('Január-December'!AB185:AB215,"*dymno*")</f>
        <v>5</v>
      </c>
      <c r="O9" s="69">
        <f>COUNTIF('Január-December'!AB185:AB215,"*hmla*")</f>
        <v>7</v>
      </c>
      <c r="P9" s="69">
        <f>COUNTIF('Január-December'!AB185:AB215,"*slnečný deň*")</f>
        <v>6</v>
      </c>
      <c r="Q9" s="254">
        <f>COUNTIF('Január-December'!AB185:AB215,"*0/8*")</f>
        <v>0</v>
      </c>
      <c r="R9" s="254">
        <f>COUNTIF('Január-December'!AB185:AB215,"*8/8*")</f>
        <v>0</v>
      </c>
      <c r="S9" s="69">
        <f t="shared" si="0"/>
        <v>12</v>
      </c>
      <c r="T9" s="254">
        <f>COUNTIF('Január-December'!W185:W215,"*N*")</f>
        <v>4</v>
      </c>
      <c r="U9" s="254">
        <f>COUNTIF('Január-December'!W185:W215,"*Z*")</f>
        <v>8</v>
      </c>
      <c r="V9" s="69">
        <f>COUNTIF('Január-December'!W185:W215,"*D*")</f>
        <v>12</v>
      </c>
      <c r="W9" s="69">
        <f>COUNTIF('Január-December'!W185:W215,"*K*")</f>
        <v>2</v>
      </c>
      <c r="X9" s="69">
        <f>COUNTIF('Január-December'!W185:W215,"*S*")</f>
        <v>0</v>
      </c>
      <c r="Y9" s="69">
        <f>COUNTIF('Január-December'!W184:W214,"*U*")</f>
        <v>0</v>
      </c>
      <c r="Z9" s="69">
        <f t="shared" si="2"/>
        <v>0</v>
      </c>
      <c r="AA9" s="69">
        <f>COUNTIF('Január-December'!AB185:AB215,"*SSP*")</f>
        <v>0</v>
      </c>
      <c r="AB9" s="69">
        <f>COUNTIF('Január-December'!AB185:AB215,"*NSP*")</f>
        <v>0</v>
      </c>
      <c r="AC9" s="69">
        <f>COUNTIF('Január-December'!AB185:AB215,"*poprašok*")</f>
        <v>0</v>
      </c>
    </row>
    <row r="10" spans="1:30" s="69" customFormat="1" x14ac:dyDescent="0.3">
      <c r="A10" s="64" t="s">
        <v>30</v>
      </c>
      <c r="B10" s="69">
        <f>COUNTIF('Január-December'!E216:E246,"&lt;=-10")</f>
        <v>0</v>
      </c>
      <c r="C10" s="69">
        <f>COUNTIF('Január-December'!E216:E246,"&lt;=-0.1")</f>
        <v>0</v>
      </c>
      <c r="D10" s="69">
        <f>COUNTIF('Január-December'!F216:F246,"&lt;=0")</f>
        <v>0</v>
      </c>
      <c r="E10" s="69">
        <f>COUNTIF('Január-December'!E216:E246,"&gt;="&amp;25)</f>
        <v>29</v>
      </c>
      <c r="F10" s="69">
        <f>COUNTIF('Január-December'!E216:E246,"&gt;=30")</f>
        <v>17</v>
      </c>
      <c r="G10" s="69">
        <f>COUNTIF('Január-December'!AB216:AB246,"*tropická noc*")</f>
        <v>0</v>
      </c>
      <c r="H10" s="69">
        <f>COUNTIF(búrky!E150:E166,"*w*")</f>
        <v>4</v>
      </c>
      <c r="I10" s="69">
        <f>COUNTIF(búrky!E150:E166,"*P*")</f>
        <v>4</v>
      </c>
      <c r="J10" s="64">
        <f>COUNTIF(búrky!E150:E166,"*L*")</f>
        <v>0</v>
      </c>
      <c r="K10" s="74">
        <f>COUNTIF(búrky!E150:E166,"*V*")</f>
        <v>1</v>
      </c>
      <c r="L10" s="76">
        <f t="shared" si="1"/>
        <v>5</v>
      </c>
      <c r="M10" s="69">
        <f>COUNTIF('Január-December'!AB216:AB246,"*zákal*")</f>
        <v>0</v>
      </c>
      <c r="N10" s="69">
        <f>COUNTIF('Január-December'!AB216:AB246,"*dymno*")</f>
        <v>3</v>
      </c>
      <c r="O10" s="69">
        <f>COUNTIF('Január-December'!AB216:AB246,"*hmla*")</f>
        <v>17</v>
      </c>
      <c r="P10" s="69">
        <f>COUNTIF('Január-December'!AB216:AB246,"*slnečný deň*")</f>
        <v>7</v>
      </c>
      <c r="Q10" s="254">
        <f>COUNTIF('Január-December'!AB216:AB246,"*0/8*")</f>
        <v>0</v>
      </c>
      <c r="R10" s="254">
        <f>COUNTIF('Január-December'!AB216:AB246,"*8/8*")</f>
        <v>0</v>
      </c>
      <c r="S10" s="69">
        <f>SUM(T10,U10)</f>
        <v>10</v>
      </c>
      <c r="T10" s="254">
        <f>COUNTIF('Január-December'!W216:W246,"*N*")</f>
        <v>2</v>
      </c>
      <c r="U10" s="254">
        <f>COUNTIF('Január-December'!W216:W246,"*Z*")</f>
        <v>8</v>
      </c>
      <c r="V10" s="69">
        <f>COUNTIF('Január-December'!W216:W246,"*D*")</f>
        <v>10</v>
      </c>
      <c r="W10" s="69">
        <f>COUNTIF('Január-December'!W216:W246,"*K*")</f>
        <v>0</v>
      </c>
      <c r="X10" s="69">
        <f>COUNTIF('Január-December'!W216:W246,"*S*")</f>
        <v>0</v>
      </c>
      <c r="Y10" s="69">
        <f>COUNTIF('Január-December'!W215:W245,"*U*")</f>
        <v>0</v>
      </c>
      <c r="Z10" s="69">
        <f t="shared" si="2"/>
        <v>0</v>
      </c>
      <c r="AA10" s="69">
        <f>COUNTIF('Január-December'!AB216:AB246,"*SSP*")</f>
        <v>0</v>
      </c>
      <c r="AB10" s="69">
        <f>COUNTIF('Január-December'!AB216:AB246,"*NSP*")</f>
        <v>0</v>
      </c>
      <c r="AC10" s="69">
        <f>COUNTIF('Január-December'!AB216:AB246,"*poprašok*")</f>
        <v>0</v>
      </c>
    </row>
    <row r="11" spans="1:30" s="69" customFormat="1" ht="15" customHeight="1" x14ac:dyDescent="0.3">
      <c r="A11" s="64" t="s">
        <v>31</v>
      </c>
      <c r="B11" s="69">
        <f>COUNTIF('Január-December'!E247:E276,"&lt;=-10")</f>
        <v>0</v>
      </c>
      <c r="C11" s="69">
        <f>COUNTIF('Január-December'!E247:E276,"&lt;=-0.1")</f>
        <v>0</v>
      </c>
      <c r="D11" s="69">
        <f>COUNTIF('Január-December'!F247:F276,"&lt;=0")</f>
        <v>0</v>
      </c>
      <c r="E11" s="69">
        <f>COUNTIF('Január-December'!E247:E276,"&gt;="&amp;25)</f>
        <v>14</v>
      </c>
      <c r="F11" s="69">
        <f>COUNTIF('Január-December'!E247:E276,"&gt;=30")</f>
        <v>7</v>
      </c>
      <c r="G11" s="69">
        <f>COUNTIF('Január-December'!AB247:AB276,"*tropická noc*")</f>
        <v>0</v>
      </c>
      <c r="H11" s="69">
        <f>COUNTIF(búrky!E179:E185,"*w*")</f>
        <v>3</v>
      </c>
      <c r="I11" s="69">
        <f>COUNTIF(búrky!E179:E185,"*P*")</f>
        <v>1</v>
      </c>
      <c r="J11" s="64">
        <f>COUNTIF(búrky!E179:E185,"*L*")</f>
        <v>0</v>
      </c>
      <c r="K11" s="74">
        <f>COUNTIF(búrky!E179:E185,"*V*")</f>
        <v>2</v>
      </c>
      <c r="L11" s="76">
        <f t="shared" si="1"/>
        <v>3</v>
      </c>
      <c r="M11" s="69">
        <f>COUNTIF('Január-December'!AB247:AB276,"*zákal*")</f>
        <v>0</v>
      </c>
      <c r="N11" s="69">
        <f>COUNTIF('Január-December'!AB247:AB276,"*dymno*")</f>
        <v>7</v>
      </c>
      <c r="O11" s="69">
        <f>COUNTIF('Január-December'!AB247:AB276,"*hmla*")</f>
        <v>10</v>
      </c>
      <c r="P11" s="69">
        <f>COUNTIF('Január-December'!AB247:AB276,"*slnečný deň*")</f>
        <v>6</v>
      </c>
      <c r="Q11" s="254">
        <f>COUNTIF('Január-December'!AB247:AB276,"*0/8*")</f>
        <v>0</v>
      </c>
      <c r="R11" s="254">
        <f>COUNTIF('Január-December'!AB247:AB276,"*8/8*")</f>
        <v>3</v>
      </c>
      <c r="S11" s="69">
        <f t="shared" si="0"/>
        <v>12</v>
      </c>
      <c r="T11" s="254">
        <f>COUNTIF('Január-December'!W247:W276,"*N*")</f>
        <v>3</v>
      </c>
      <c r="U11" s="254">
        <f>COUNTIF('Január-December'!W247:W276,"*Z*")</f>
        <v>9</v>
      </c>
      <c r="V11" s="69">
        <f>COUNTIF('Január-December'!W247:W276,"*D*")</f>
        <v>12</v>
      </c>
      <c r="W11" s="69">
        <f>COUNTIF('Január-December'!W247:W276,"*K*")</f>
        <v>0</v>
      </c>
      <c r="X11" s="69">
        <f>COUNTIF('Január-December'!W247:W276,"*S*")</f>
        <v>0</v>
      </c>
      <c r="Y11" s="69">
        <f>COUNTIF('Január-December'!W246:W275,"*U*")</f>
        <v>0</v>
      </c>
      <c r="Z11" s="69">
        <f t="shared" si="2"/>
        <v>0</v>
      </c>
      <c r="AA11" s="69">
        <f>COUNTIF('Január-December'!AB247:AB276,"*SSP*")</f>
        <v>0</v>
      </c>
      <c r="AB11" s="69">
        <f>COUNTIF('Január-December'!AB247:AB276,"*NSP*")</f>
        <v>0</v>
      </c>
      <c r="AC11" s="69">
        <f>COUNTIF('Január-December'!AB247:AB276,"*poprašok*")</f>
        <v>0</v>
      </c>
    </row>
    <row r="12" spans="1:30" s="69" customFormat="1" ht="15" customHeight="1" x14ac:dyDescent="0.3">
      <c r="A12" s="64" t="s">
        <v>32</v>
      </c>
      <c r="B12" s="69">
        <f>COUNTIF('Január-December'!E277:E307,"&lt;=-10")</f>
        <v>0</v>
      </c>
      <c r="C12" s="69">
        <f>COUNTIF('Január-December'!E277:E307,"&lt;=-0.1")</f>
        <v>0</v>
      </c>
      <c r="D12" s="69">
        <f>COUNTIF('Január-December'!F277:F307,"&lt;=0")</f>
        <v>9</v>
      </c>
      <c r="E12" s="69">
        <f>COUNTIF('Január-December'!E277:E307,"&gt;="&amp;25)</f>
        <v>0</v>
      </c>
      <c r="F12" s="69">
        <f>COUNTIF('Január-December'!E277:E307,"&gt;=30")</f>
        <v>0</v>
      </c>
      <c r="G12" s="69">
        <f>COUNTIF('Január-December'!AB277:AB307,"*tropická noc*")</f>
        <v>0</v>
      </c>
      <c r="H12" s="69">
        <f>COUNTIF(búrky!E198:E200,"*w*")</f>
        <v>0</v>
      </c>
      <c r="I12" s="69">
        <f>COUNTIF(búrky!E198:E200,"*P*")</f>
        <v>0</v>
      </c>
      <c r="J12" s="64">
        <f>COUNTIF(búrky!E198:E200,"*L*")</f>
        <v>0</v>
      </c>
      <c r="K12" s="74">
        <f>COUNTIF(búrky!E198:E200,"*V*")</f>
        <v>0</v>
      </c>
      <c r="L12" s="76">
        <f t="shared" si="1"/>
        <v>0</v>
      </c>
      <c r="M12" s="69">
        <f>COUNTIF('Január-December'!AB277:AB307,"*zákal*")</f>
        <v>0</v>
      </c>
      <c r="N12" s="69">
        <f>COUNTIF('Január-December'!AB277:AB307,"*dymno*")</f>
        <v>3</v>
      </c>
      <c r="O12" s="69">
        <f>COUNTIF('Január-December'!AB277:AB307,"*hmla*")</f>
        <v>17</v>
      </c>
      <c r="P12" s="69">
        <f>COUNTIF('Január-December'!AB277:AB307,"*slnečný deň*")</f>
        <v>8</v>
      </c>
      <c r="Q12" s="254">
        <f>COUNTIF('Január-December'!AB277:AB307,"*0/8*")</f>
        <v>0</v>
      </c>
      <c r="R12" s="254">
        <f>COUNTIF('Január-December'!AB277:AB307,"*8/8*")</f>
        <v>4</v>
      </c>
      <c r="S12" s="69">
        <f t="shared" si="0"/>
        <v>13</v>
      </c>
      <c r="T12" s="254">
        <f>COUNTIF('Január-December'!W277:W307,"*N*")</f>
        <v>1</v>
      </c>
      <c r="U12" s="254">
        <f>COUNTIF('Január-December'!W277:W307,"*Z*")</f>
        <v>12</v>
      </c>
      <c r="V12" s="69">
        <f>COUNTIF('Január-December'!W277:W307,"*D*")</f>
        <v>8</v>
      </c>
      <c r="W12" s="69">
        <f>COUNTIF('Január-December'!W277:W307,"*K*")</f>
        <v>0</v>
      </c>
      <c r="X12" s="69">
        <f>COUNTIF('Január-December'!W277:W307,"*S*")</f>
        <v>0</v>
      </c>
      <c r="Y12" s="69">
        <f>COUNTIF('Január-December'!W276:W306,"*U*")</f>
        <v>5</v>
      </c>
      <c r="Z12" s="69">
        <f t="shared" si="2"/>
        <v>0</v>
      </c>
      <c r="AA12" s="69">
        <f>COUNTIF('Január-December'!AB277:AB307,"*SSP*")</f>
        <v>0</v>
      </c>
      <c r="AB12" s="69">
        <f>COUNTIF('Január-December'!AB277:AB307,"*NSP*")</f>
        <v>0</v>
      </c>
      <c r="AC12" s="69">
        <f>COUNTIF('Január-December'!AB277:AB307,"*poprašok*")</f>
        <v>0</v>
      </c>
    </row>
    <row r="13" spans="1:30" s="69" customFormat="1" x14ac:dyDescent="0.3">
      <c r="A13" s="64" t="s">
        <v>33</v>
      </c>
      <c r="B13" s="69">
        <f>COUNTIF('Január-December'!E308:E337,"&lt;=-10")</f>
        <v>0</v>
      </c>
      <c r="C13" s="69">
        <f>COUNTIF('Január-December'!E308:E337,"&lt;=-0.1")</f>
        <v>0</v>
      </c>
      <c r="D13" s="69">
        <f>COUNTIF('Január-December'!F308:F337,"&lt;=0")</f>
        <v>19</v>
      </c>
      <c r="E13" s="69">
        <f>COUNTIF('Január-December'!E308:E337,"&gt;="&amp;25)</f>
        <v>0</v>
      </c>
      <c r="F13" s="69">
        <f>COUNTIF('Január-December'!E308:E337,"&gt;=30")</f>
        <v>0</v>
      </c>
      <c r="G13" s="69">
        <f>COUNTIF('Január-December'!AB308:AB337,"*tropická noc*")</f>
        <v>0</v>
      </c>
      <c r="H13" s="69">
        <f>COUNTIF(búrky!E213:E215,"*w*")</f>
        <v>0</v>
      </c>
      <c r="I13" s="69">
        <f>COUNTIF(búrky!E213:E215,"*P*")</f>
        <v>0</v>
      </c>
      <c r="J13" s="64">
        <f>COUNTIF(búrky!E213:E215,"*L*")</f>
        <v>0</v>
      </c>
      <c r="K13" s="74">
        <f>COUNTIF(búrky!E213:E215,"*V*")</f>
        <v>0</v>
      </c>
      <c r="L13" s="76">
        <f t="shared" si="1"/>
        <v>0</v>
      </c>
      <c r="M13" s="69">
        <f>COUNTIF('Január-December'!AB308:AB337,"*zákal*")</f>
        <v>0</v>
      </c>
      <c r="N13" s="69">
        <f>COUNTIF('Január-December'!AB308:AB337,"*dymno*")</f>
        <v>15</v>
      </c>
      <c r="O13" s="69">
        <f>COUNTIF('Január-December'!AB308:AB337,"*hmla*")</f>
        <v>12</v>
      </c>
      <c r="P13" s="69">
        <f>COUNTIF('Január-December'!AB308:AB337,"*slnečný deň*")</f>
        <v>2</v>
      </c>
      <c r="Q13" s="254">
        <f>COUNTIF('Január-December'!AB308:AB337,"*0/8*")</f>
        <v>0</v>
      </c>
      <c r="R13" s="254">
        <f>COUNTIF('Január-December'!AB308:AB337,"*8/8*")</f>
        <v>8</v>
      </c>
      <c r="S13" s="69">
        <f t="shared" si="0"/>
        <v>14</v>
      </c>
      <c r="T13" s="254">
        <f>COUNTIF('Január-December'!W308:W337,"*N*")</f>
        <v>3</v>
      </c>
      <c r="U13" s="254">
        <f>COUNTIF('Január-December'!W308:W337,"*Z*")</f>
        <v>11</v>
      </c>
      <c r="V13" s="69">
        <f>COUNTIF('Január-December'!W308:W337,"*D*")</f>
        <v>9</v>
      </c>
      <c r="W13" s="69">
        <f>COUNTIF('Január-December'!W308:W337,"*K*")</f>
        <v>0</v>
      </c>
      <c r="X13" s="69">
        <f>COUNTIF('Január-December'!W308:W337,"*S*")</f>
        <v>4</v>
      </c>
      <c r="Y13" s="69">
        <f>COUNTIF('Január-December'!W307:W336,"*U*")</f>
        <v>3</v>
      </c>
      <c r="Z13" s="69">
        <f t="shared" si="2"/>
        <v>3</v>
      </c>
      <c r="AA13" s="69">
        <f>COUNTIF('Január-December'!AB308:AB337,"*SSP*")</f>
        <v>1</v>
      </c>
      <c r="AB13" s="69">
        <f>COUNTIF('Január-December'!AB308:AB337,"*NSP*")</f>
        <v>1</v>
      </c>
      <c r="AC13" s="69">
        <f>COUNTIF('Január-December'!AB308:AB337,"*poprašok*")</f>
        <v>1</v>
      </c>
    </row>
    <row r="14" spans="1:30" s="71" customFormat="1" ht="15" thickBot="1" x14ac:dyDescent="0.35">
      <c r="A14" s="70" t="s">
        <v>34</v>
      </c>
      <c r="B14" s="71">
        <f>COUNTIF('Január-December'!E338:E368,"&lt;=-10")</f>
        <v>0</v>
      </c>
      <c r="C14" s="71">
        <f>COUNTIF('Január-December'!E338:E368,"&lt;=-0.1")</f>
        <v>3</v>
      </c>
      <c r="D14" s="71">
        <f>COUNTIF('Január-December'!F338:F368,"&lt;=0")</f>
        <v>18</v>
      </c>
      <c r="E14" s="71">
        <f>COUNTIF('Január-December'!E338:E368,"&gt;="&amp;25)</f>
        <v>0</v>
      </c>
      <c r="F14" s="71">
        <f>COUNTIF('Január-December'!E338:E368,"&gt;=30")</f>
        <v>0</v>
      </c>
      <c r="G14" s="71">
        <f>COUNTIF('Január-December'!AB338:AB368,"*tropická noc*")</f>
        <v>0</v>
      </c>
      <c r="H14" s="71">
        <f>COUNTIF(búrky!E228:E230,"*w*")</f>
        <v>0</v>
      </c>
      <c r="I14" s="71">
        <f>COUNTIF(búrky!E228:E230,"*P*")</f>
        <v>0</v>
      </c>
      <c r="J14" s="70">
        <f>COUNTIF(búrky!E228:E230,"*L*")</f>
        <v>0</v>
      </c>
      <c r="K14" s="241">
        <f>COUNTIF(búrky!E228:E230,"*V*")</f>
        <v>0</v>
      </c>
      <c r="L14" s="76">
        <f t="shared" si="1"/>
        <v>0</v>
      </c>
      <c r="M14" s="71">
        <f>COUNTIF('Január-December'!AB338:AB368,"*zákal*")</f>
        <v>0</v>
      </c>
      <c r="N14" s="71">
        <f>COUNTIF('Január-December'!AB338:AB368,"*dymno*")</f>
        <v>11</v>
      </c>
      <c r="O14" s="71">
        <f>COUNTIF('Január-December'!AB338:AB368,"*hmla*")</f>
        <v>7</v>
      </c>
      <c r="P14" s="71">
        <f>COUNTIF('Január-December'!AB338:AB368,"*slnečný deň*")</f>
        <v>0</v>
      </c>
      <c r="Q14" s="255">
        <f>COUNTIF('Január-December'!AB338:AB368,"*0/8*")</f>
        <v>0</v>
      </c>
      <c r="R14" s="255">
        <f>COUNTIF('Január-December'!AB338:AB368,"*8/8*")</f>
        <v>17</v>
      </c>
      <c r="S14" s="71">
        <f t="shared" si="0"/>
        <v>13</v>
      </c>
      <c r="T14" s="255">
        <f>COUNTIF('Január-December'!W338:W368,"*N*")</f>
        <v>3</v>
      </c>
      <c r="U14" s="255">
        <f>COUNTIF('Január-December'!W338:W368,"*Z*")</f>
        <v>10</v>
      </c>
      <c r="V14" s="71">
        <f>COUNTIF('Január-December'!W338:W368,"*D*")</f>
        <v>9</v>
      </c>
      <c r="W14" s="71">
        <f>COUNTIF('Január-December'!W338:W368,"*K*")</f>
        <v>0</v>
      </c>
      <c r="X14" s="71">
        <f>COUNTIF('Január-December'!W338:W368,"*S*")</f>
        <v>7</v>
      </c>
      <c r="Y14" s="71">
        <f>COUNTIF('Január-December'!W337:W367,"*U*")</f>
        <v>1</v>
      </c>
      <c r="Z14" s="69">
        <f t="shared" si="2"/>
        <v>6</v>
      </c>
      <c r="AA14" s="71">
        <f>COUNTIF('Január-December'!AB338:AB368,"*SSP*")</f>
        <v>3</v>
      </c>
      <c r="AB14" s="71">
        <f>COUNTIF('Január-December'!AB338:AB368,"*NSP*")</f>
        <v>2</v>
      </c>
      <c r="AC14" s="71">
        <f>COUNTIF('Január-December'!AB338:AB368,"*poprašok*")</f>
        <v>1</v>
      </c>
    </row>
    <row r="15" spans="1:30" s="73" customFormat="1" ht="16.2" thickBot="1" x14ac:dyDescent="0.35">
      <c r="A15" s="72">
        <v>2021</v>
      </c>
      <c r="B15" s="242">
        <f t="shared" ref="B15:AC15" si="3">SUM(B3:B14)</f>
        <v>0</v>
      </c>
      <c r="C15" s="73">
        <f t="shared" si="3"/>
        <v>10</v>
      </c>
      <c r="D15" s="73">
        <f t="shared" si="3"/>
        <v>96</v>
      </c>
      <c r="E15" s="73">
        <f t="shared" si="3"/>
        <v>114</v>
      </c>
      <c r="F15" s="73">
        <f t="shared" si="3"/>
        <v>49</v>
      </c>
      <c r="G15" s="73">
        <f t="shared" si="3"/>
        <v>3</v>
      </c>
      <c r="H15" s="73">
        <f t="shared" si="3"/>
        <v>27</v>
      </c>
      <c r="I15" s="73">
        <f t="shared" si="3"/>
        <v>21</v>
      </c>
      <c r="J15" s="73">
        <f t="shared" si="3"/>
        <v>4</v>
      </c>
      <c r="K15" s="75">
        <f t="shared" si="3"/>
        <v>9</v>
      </c>
      <c r="L15" s="77">
        <f>SUM(L3:L14)</f>
        <v>34</v>
      </c>
      <c r="M15" s="77">
        <f>SUM(M3:M14)</f>
        <v>3</v>
      </c>
      <c r="N15" s="77">
        <f>SUM(N3:N14)</f>
        <v>59</v>
      </c>
      <c r="O15" s="73">
        <f t="shared" si="3"/>
        <v>109</v>
      </c>
      <c r="P15" s="77">
        <f>SUM(P3:P14)</f>
        <v>51</v>
      </c>
      <c r="Q15" s="77">
        <f t="shared" si="3"/>
        <v>2</v>
      </c>
      <c r="R15" s="77">
        <f t="shared" si="3"/>
        <v>66</v>
      </c>
      <c r="S15" s="73">
        <f t="shared" si="3"/>
        <v>173</v>
      </c>
      <c r="T15" s="77">
        <f>SUM(T3:T14)</f>
        <v>38</v>
      </c>
      <c r="U15" s="77">
        <f t="shared" si="3"/>
        <v>135</v>
      </c>
      <c r="V15" s="73">
        <f t="shared" si="3"/>
        <v>148</v>
      </c>
      <c r="W15" s="73">
        <f t="shared" si="3"/>
        <v>3</v>
      </c>
      <c r="X15" s="73">
        <f t="shared" si="3"/>
        <v>31</v>
      </c>
      <c r="Y15" s="73">
        <f>SUM(Y3:Y14)</f>
        <v>9</v>
      </c>
      <c r="Z15" s="73">
        <f t="shared" si="3"/>
        <v>29</v>
      </c>
      <c r="AA15" s="73">
        <f t="shared" si="3"/>
        <v>11</v>
      </c>
      <c r="AB15" s="73">
        <f t="shared" si="3"/>
        <v>5</v>
      </c>
      <c r="AC15" s="244">
        <f t="shared" si="3"/>
        <v>13</v>
      </c>
      <c r="AD15" s="75"/>
    </row>
  </sheetData>
  <mergeCells count="6">
    <mergeCell ref="M1:R1"/>
    <mergeCell ref="Z1:AC1"/>
    <mergeCell ref="A1:A2"/>
    <mergeCell ref="B1:G1"/>
    <mergeCell ref="H1:L1"/>
    <mergeCell ref="S1:Y1"/>
  </mergeCells>
  <conditionalFormatting sqref="B3:AC14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ignoredErrors>
    <ignoredError sqref="B14:C14 B5:C5 D5:G5 B6:C6 D6:G6 B7:C7 D7:G7 B8:C8 D8:G8 B9:C9 D9:G9 B10:C10 D10:G10 B11:C11 D11:G11 B12:C12 D12:G12 B13:C13 D13:G13 D14:G14 D3:G3 B3:C3 B4:AC4 H3:AC3" formulaRange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Január-December</vt:lpstr>
      <vt:lpstr>búrky</vt:lpstr>
      <vt:lpstr>2024</vt:lpstr>
      <vt:lpstr>2024 dni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Fedor</dc:creator>
  <cp:lastModifiedBy>Tomáš Fedor</cp:lastModifiedBy>
  <dcterms:created xsi:type="dcterms:W3CDTF">2015-02-14T11:41:41Z</dcterms:created>
  <dcterms:modified xsi:type="dcterms:W3CDTF">2025-01-01T13:27:27Z</dcterms:modified>
</cp:coreProperties>
</file>