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x data\meteo data\"/>
    </mc:Choice>
  </mc:AlternateContent>
  <xr:revisionPtr revIDLastSave="0" documentId="13_ncr:1_{AC066988-BDE2-474B-B8F7-2C999A5F7F8B}" xr6:coauthVersionLast="47" xr6:coauthVersionMax="47" xr10:uidLastSave="{00000000-0000-0000-0000-000000000000}"/>
  <bookViews>
    <workbookView xWindow="-108" yWindow="-108" windowWidth="23256" windowHeight="12576" tabRatio="772" xr2:uid="{00000000-000D-0000-FFFF-FFFF00000000}"/>
  </bookViews>
  <sheets>
    <sheet name="Január-December" sheetId="2" r:id="rId1"/>
    <sheet name="búrky" sheetId="17" r:id="rId2"/>
    <sheet name="2025" sheetId="1" r:id="rId3"/>
    <sheet name="2025 dni" sheetId="20" r:id="rId4"/>
  </sheets>
  <definedNames>
    <definedName name="_xlnm._FilterDatabase" localSheetId="2" hidden="1">'2025'!$A$3:$A$15</definedName>
    <definedName name="Indoor_Temperature_°C">#REF!</definedName>
    <definedName name="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2" l="1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I4" i="1" l="1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G4" i="1"/>
  <c r="C4" i="1"/>
  <c r="B4" i="1"/>
  <c r="AC4" i="20"/>
  <c r="AB4" i="20"/>
  <c r="AA4" i="20"/>
  <c r="Y4" i="20"/>
  <c r="X4" i="20"/>
  <c r="W4" i="20"/>
  <c r="V4" i="20"/>
  <c r="U4" i="20"/>
  <c r="T4" i="20"/>
  <c r="R4" i="20"/>
  <c r="Q4" i="20"/>
  <c r="P4" i="20"/>
  <c r="O4" i="20"/>
  <c r="N4" i="20"/>
  <c r="M4" i="20"/>
  <c r="G4" i="20"/>
  <c r="F4" i="20"/>
  <c r="E4" i="20"/>
  <c r="D4" i="20"/>
  <c r="C4" i="20"/>
  <c r="B4" i="20"/>
  <c r="F4" i="1" l="1"/>
  <c r="H4" i="1"/>
  <c r="D4" i="1"/>
  <c r="E4" i="1"/>
  <c r="H256" i="17"/>
  <c r="H255" i="17"/>
  <c r="H254" i="17"/>
  <c r="H253" i="17"/>
  <c r="H251" i="17"/>
  <c r="H250" i="17"/>
  <c r="H249" i="17"/>
  <c r="H248" i="17"/>
  <c r="H247" i="17"/>
  <c r="H242" i="17"/>
  <c r="H241" i="17"/>
  <c r="H240" i="17"/>
  <c r="H239" i="17"/>
  <c r="H237" i="17"/>
  <c r="H236" i="17"/>
  <c r="H235" i="17"/>
  <c r="H234" i="17"/>
  <c r="H233" i="17"/>
  <c r="H227" i="17"/>
  <c r="H226" i="17"/>
  <c r="H225" i="17"/>
  <c r="H224" i="17"/>
  <c r="H222" i="17"/>
  <c r="H221" i="17"/>
  <c r="H220" i="17"/>
  <c r="H219" i="17"/>
  <c r="H218" i="17"/>
  <c r="H212" i="17"/>
  <c r="H211" i="17"/>
  <c r="H210" i="17"/>
  <c r="H209" i="17"/>
  <c r="H207" i="17"/>
  <c r="H206" i="17"/>
  <c r="H205" i="17"/>
  <c r="H204" i="17"/>
  <c r="H203" i="17"/>
  <c r="H197" i="17"/>
  <c r="H196" i="17"/>
  <c r="H195" i="17"/>
  <c r="H194" i="17"/>
  <c r="H192" i="17"/>
  <c r="H191" i="17"/>
  <c r="H190" i="17"/>
  <c r="H189" i="17"/>
  <c r="H188" i="17"/>
  <c r="H178" i="17"/>
  <c r="H177" i="17"/>
  <c r="H176" i="17"/>
  <c r="H175" i="17"/>
  <c r="H173" i="17"/>
  <c r="H172" i="17"/>
  <c r="H171" i="17"/>
  <c r="H170" i="17"/>
  <c r="H169" i="17"/>
  <c r="H149" i="17"/>
  <c r="H148" i="17"/>
  <c r="H147" i="17"/>
  <c r="H146" i="17"/>
  <c r="H144" i="17"/>
  <c r="H143" i="17"/>
  <c r="H142" i="17"/>
  <c r="H141" i="17"/>
  <c r="H140" i="17"/>
  <c r="H116" i="17"/>
  <c r="H115" i="17"/>
  <c r="H114" i="17"/>
  <c r="H113" i="17"/>
  <c r="H111" i="17"/>
  <c r="H110" i="17"/>
  <c r="H109" i="17"/>
  <c r="H108" i="17"/>
  <c r="H107" i="17"/>
  <c r="H86" i="17"/>
  <c r="H85" i="17"/>
  <c r="H84" i="17"/>
  <c r="H83" i="17"/>
  <c r="H81" i="17"/>
  <c r="H80" i="17"/>
  <c r="H79" i="17"/>
  <c r="H78" i="17"/>
  <c r="H77" i="17"/>
  <c r="H66" i="17"/>
  <c r="H65" i="17"/>
  <c r="H64" i="17"/>
  <c r="H63" i="17"/>
  <c r="H61" i="17"/>
  <c r="H60" i="17"/>
  <c r="H59" i="17"/>
  <c r="H58" i="17"/>
  <c r="H57" i="17"/>
  <c r="H46" i="17"/>
  <c r="H45" i="17"/>
  <c r="H44" i="17"/>
  <c r="H43" i="17"/>
  <c r="H41" i="17"/>
  <c r="H40" i="17"/>
  <c r="H39" i="17"/>
  <c r="H38" i="17"/>
  <c r="H37" i="17"/>
  <c r="H31" i="17"/>
  <c r="H30" i="17"/>
  <c r="H29" i="17"/>
  <c r="H28" i="17"/>
  <c r="H26" i="17"/>
  <c r="H25" i="17"/>
  <c r="H24" i="17"/>
  <c r="H23" i="17"/>
  <c r="H22" i="17"/>
  <c r="H17" i="17"/>
  <c r="H16" i="17"/>
  <c r="H15" i="17"/>
  <c r="H14" i="17"/>
  <c r="H12" i="17"/>
  <c r="H11" i="17"/>
  <c r="H10" i="17"/>
  <c r="H9" i="17"/>
  <c r="H8" i="17"/>
  <c r="AC14" i="20" l="1"/>
  <c r="AB14" i="20"/>
  <c r="AA14" i="20"/>
  <c r="Y14" i="20"/>
  <c r="X14" i="20"/>
  <c r="W14" i="20"/>
  <c r="V14" i="20"/>
  <c r="U14" i="20"/>
  <c r="T14" i="20"/>
  <c r="R14" i="20"/>
  <c r="Q14" i="20"/>
  <c r="P14" i="20"/>
  <c r="O14" i="20"/>
  <c r="N14" i="20"/>
  <c r="M14" i="20"/>
  <c r="K14" i="20"/>
  <c r="J14" i="20"/>
  <c r="I14" i="20"/>
  <c r="H14" i="20"/>
  <c r="G14" i="20"/>
  <c r="F14" i="20"/>
  <c r="E14" i="20"/>
  <c r="D14" i="20"/>
  <c r="C14" i="20"/>
  <c r="B14" i="20"/>
  <c r="AC13" i="20"/>
  <c r="AB13" i="20"/>
  <c r="AA13" i="20"/>
  <c r="Y13" i="20"/>
  <c r="X13" i="20"/>
  <c r="W13" i="20"/>
  <c r="V13" i="20"/>
  <c r="U13" i="20"/>
  <c r="T13" i="20"/>
  <c r="R13" i="20"/>
  <c r="Q13" i="20"/>
  <c r="P13" i="20"/>
  <c r="O13" i="20"/>
  <c r="N13" i="20"/>
  <c r="M13" i="20"/>
  <c r="K13" i="20"/>
  <c r="J13" i="20"/>
  <c r="I13" i="20"/>
  <c r="H13" i="20"/>
  <c r="G13" i="20"/>
  <c r="F13" i="20"/>
  <c r="E13" i="20"/>
  <c r="D13" i="20"/>
  <c r="C13" i="20"/>
  <c r="B13" i="20"/>
  <c r="AC12" i="20"/>
  <c r="AB12" i="20"/>
  <c r="AA12" i="20"/>
  <c r="Y12" i="20"/>
  <c r="X12" i="20"/>
  <c r="W12" i="20"/>
  <c r="V12" i="20"/>
  <c r="U12" i="20"/>
  <c r="T12" i="20"/>
  <c r="R12" i="20"/>
  <c r="Q12" i="20"/>
  <c r="P12" i="20"/>
  <c r="O12" i="20"/>
  <c r="N12" i="20"/>
  <c r="M12" i="20"/>
  <c r="K12" i="20"/>
  <c r="J12" i="20"/>
  <c r="I12" i="20"/>
  <c r="H12" i="20"/>
  <c r="G12" i="20"/>
  <c r="F12" i="20"/>
  <c r="E12" i="20"/>
  <c r="D12" i="20"/>
  <c r="C12" i="20"/>
  <c r="B12" i="20"/>
  <c r="AC11" i="20"/>
  <c r="AB11" i="20"/>
  <c r="AA11" i="20"/>
  <c r="Y11" i="20"/>
  <c r="X11" i="20"/>
  <c r="W11" i="20"/>
  <c r="V11" i="20"/>
  <c r="U11" i="20"/>
  <c r="T11" i="20"/>
  <c r="R11" i="20"/>
  <c r="Q11" i="20"/>
  <c r="P11" i="20"/>
  <c r="O11" i="20"/>
  <c r="N11" i="20"/>
  <c r="M11" i="20"/>
  <c r="K11" i="20"/>
  <c r="J11" i="20"/>
  <c r="I11" i="20"/>
  <c r="H11" i="20"/>
  <c r="G11" i="20"/>
  <c r="F11" i="20"/>
  <c r="E11" i="20"/>
  <c r="D11" i="20"/>
  <c r="C11" i="20"/>
  <c r="B11" i="20"/>
  <c r="AC10" i="20"/>
  <c r="AB10" i="20"/>
  <c r="AA10" i="20"/>
  <c r="Y10" i="20"/>
  <c r="X10" i="20"/>
  <c r="W10" i="20"/>
  <c r="V10" i="20"/>
  <c r="U10" i="20"/>
  <c r="T10" i="20"/>
  <c r="R10" i="20"/>
  <c r="Q10" i="20"/>
  <c r="P10" i="20"/>
  <c r="O10" i="20"/>
  <c r="N10" i="20"/>
  <c r="M10" i="20"/>
  <c r="K10" i="20"/>
  <c r="J10" i="20"/>
  <c r="I10" i="20"/>
  <c r="H10" i="20"/>
  <c r="G10" i="20"/>
  <c r="F10" i="20"/>
  <c r="E10" i="20"/>
  <c r="D10" i="20"/>
  <c r="C10" i="20"/>
  <c r="B10" i="20"/>
  <c r="AC9" i="20"/>
  <c r="AB9" i="20"/>
  <c r="AA9" i="20"/>
  <c r="Y9" i="20"/>
  <c r="X9" i="20"/>
  <c r="W9" i="20"/>
  <c r="V9" i="20"/>
  <c r="U9" i="20"/>
  <c r="T9" i="20"/>
  <c r="R9" i="20"/>
  <c r="Q9" i="20"/>
  <c r="P9" i="20"/>
  <c r="O9" i="20"/>
  <c r="N9" i="20"/>
  <c r="M9" i="20"/>
  <c r="K9" i="20"/>
  <c r="J9" i="20"/>
  <c r="I9" i="20"/>
  <c r="H9" i="20"/>
  <c r="G9" i="20"/>
  <c r="F9" i="20"/>
  <c r="E9" i="20"/>
  <c r="D9" i="20"/>
  <c r="C9" i="20"/>
  <c r="B9" i="20"/>
  <c r="AC8" i="20"/>
  <c r="AB8" i="20"/>
  <c r="AA8" i="20"/>
  <c r="Y8" i="20"/>
  <c r="X8" i="20"/>
  <c r="W8" i="20"/>
  <c r="V8" i="20"/>
  <c r="U8" i="20"/>
  <c r="T8" i="20"/>
  <c r="R8" i="20"/>
  <c r="Q8" i="20"/>
  <c r="P8" i="20"/>
  <c r="O8" i="20"/>
  <c r="N8" i="20"/>
  <c r="M8" i="20"/>
  <c r="K8" i="20"/>
  <c r="J8" i="20"/>
  <c r="I8" i="20"/>
  <c r="H8" i="20"/>
  <c r="G8" i="20"/>
  <c r="F8" i="20"/>
  <c r="E8" i="20"/>
  <c r="D8" i="20"/>
  <c r="C8" i="20"/>
  <c r="B8" i="20"/>
  <c r="AC7" i="20"/>
  <c r="AB7" i="20"/>
  <c r="AA7" i="20"/>
  <c r="Y7" i="20"/>
  <c r="X7" i="20"/>
  <c r="W7" i="20"/>
  <c r="V7" i="20"/>
  <c r="U7" i="20"/>
  <c r="T7" i="20"/>
  <c r="R7" i="20"/>
  <c r="Q7" i="20"/>
  <c r="P7" i="20"/>
  <c r="O7" i="20"/>
  <c r="N7" i="20"/>
  <c r="M7" i="20"/>
  <c r="K7" i="20"/>
  <c r="J7" i="20"/>
  <c r="I7" i="20"/>
  <c r="H7" i="20"/>
  <c r="G7" i="20"/>
  <c r="F7" i="20"/>
  <c r="E7" i="20"/>
  <c r="D7" i="20"/>
  <c r="C7" i="20"/>
  <c r="B7" i="20"/>
  <c r="AC6" i="20"/>
  <c r="AB6" i="20"/>
  <c r="AA6" i="20"/>
  <c r="Y6" i="20"/>
  <c r="X6" i="20"/>
  <c r="W6" i="20"/>
  <c r="V6" i="20"/>
  <c r="U6" i="20"/>
  <c r="T6" i="20"/>
  <c r="R6" i="20"/>
  <c r="Q6" i="20"/>
  <c r="P6" i="20"/>
  <c r="O6" i="20"/>
  <c r="N6" i="20"/>
  <c r="M6" i="20"/>
  <c r="K6" i="20"/>
  <c r="J6" i="20"/>
  <c r="I6" i="20"/>
  <c r="H6" i="20"/>
  <c r="G6" i="20"/>
  <c r="F6" i="20"/>
  <c r="E6" i="20"/>
  <c r="D6" i="20"/>
  <c r="C6" i="20"/>
  <c r="B6" i="20"/>
  <c r="AC5" i="20"/>
  <c r="AB5" i="20"/>
  <c r="AA5" i="20"/>
  <c r="Y5" i="20"/>
  <c r="X5" i="20"/>
  <c r="W5" i="20"/>
  <c r="V5" i="20"/>
  <c r="U5" i="20"/>
  <c r="T5" i="20"/>
  <c r="R5" i="20"/>
  <c r="Q5" i="20"/>
  <c r="P5" i="20"/>
  <c r="O5" i="20"/>
  <c r="N5" i="20"/>
  <c r="M5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AC3" i="20"/>
  <c r="AB3" i="20"/>
  <c r="AA3" i="20"/>
  <c r="Y3" i="20"/>
  <c r="X3" i="20"/>
  <c r="W3" i="20"/>
  <c r="V3" i="20"/>
  <c r="U3" i="20"/>
  <c r="T3" i="20"/>
  <c r="R3" i="20"/>
  <c r="Q3" i="20"/>
  <c r="P3" i="20"/>
  <c r="O3" i="20"/>
  <c r="N3" i="20"/>
  <c r="M3" i="20"/>
  <c r="K3" i="20"/>
  <c r="J3" i="20"/>
  <c r="I3" i="20"/>
  <c r="H3" i="20"/>
  <c r="G3" i="20"/>
  <c r="F3" i="20"/>
  <c r="E3" i="20"/>
  <c r="D3" i="20"/>
  <c r="C3" i="20"/>
  <c r="B3" i="20"/>
  <c r="AF14" i="1"/>
  <c r="AE14" i="1"/>
  <c r="AD14" i="1"/>
  <c r="AC14" i="1"/>
  <c r="AB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F9" i="1"/>
  <c r="AE9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F8" i="1"/>
  <c r="AE8" i="1"/>
  <c r="AD8" i="1"/>
  <c r="AC8" i="1"/>
  <c r="AB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F7" i="1"/>
  <c r="AE7" i="1"/>
  <c r="AD7" i="1"/>
  <c r="AC7" i="1"/>
  <c r="AB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F6" i="1"/>
  <c r="AE6" i="1"/>
  <c r="AD6" i="1"/>
  <c r="AC6" i="1"/>
  <c r="AB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5" i="1"/>
  <c r="AE5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F3" i="1"/>
  <c r="AE3" i="1"/>
  <c r="AD3" i="1"/>
  <c r="AC3" i="1"/>
  <c r="AB3" i="1"/>
  <c r="Z3" i="1"/>
  <c r="Y3" i="1"/>
  <c r="X3" i="1"/>
  <c r="W3" i="1"/>
  <c r="V3" i="1"/>
  <c r="U3" i="1"/>
  <c r="T3" i="1"/>
  <c r="S3" i="1"/>
  <c r="R3" i="1"/>
  <c r="Q3" i="1"/>
  <c r="P3" i="1"/>
  <c r="O3" i="1"/>
  <c r="O15" i="1" s="1"/>
  <c r="N3" i="1"/>
  <c r="M3" i="1"/>
  <c r="L3" i="1"/>
  <c r="K3" i="1"/>
  <c r="J3" i="1"/>
  <c r="I3" i="1"/>
  <c r="H3" i="1"/>
  <c r="G3" i="1"/>
  <c r="F3" i="1"/>
  <c r="E3" i="1"/>
  <c r="D3" i="1"/>
  <c r="C3" i="1"/>
  <c r="B3" i="1"/>
  <c r="L13" i="20" l="1"/>
  <c r="S5" i="20"/>
  <c r="Z5" i="20"/>
  <c r="S4" i="20"/>
  <c r="Z4" i="20"/>
  <c r="Z3" i="20"/>
  <c r="S3" i="20"/>
  <c r="S11" i="20"/>
  <c r="Z14" i="20"/>
  <c r="S14" i="20"/>
  <c r="S13" i="20"/>
  <c r="S12" i="20"/>
  <c r="Y15" i="1"/>
  <c r="Z15" i="1"/>
  <c r="W15" i="1"/>
  <c r="Q15" i="1"/>
  <c r="Z11" i="20"/>
  <c r="Z12" i="20"/>
  <c r="Z13" i="20"/>
  <c r="S10" i="20"/>
  <c r="H15" i="1"/>
  <c r="X15" i="1"/>
  <c r="Z10" i="20"/>
  <c r="L5" i="20"/>
  <c r="S9" i="20"/>
  <c r="Z9" i="20"/>
  <c r="I15" i="1"/>
  <c r="S15" i="1"/>
  <c r="U15" i="1"/>
  <c r="V15" i="1"/>
  <c r="T15" i="1"/>
  <c r="M15" i="1"/>
  <c r="N15" i="1"/>
  <c r="P15" i="1"/>
  <c r="R15" i="1"/>
  <c r="J15" i="1"/>
  <c r="K15" i="1"/>
  <c r="G15" i="1"/>
  <c r="F15" i="20"/>
  <c r="E15" i="20"/>
  <c r="L15" i="1"/>
  <c r="B15" i="1"/>
  <c r="B15" i="20"/>
  <c r="C15" i="20"/>
  <c r="C15" i="1"/>
  <c r="D15" i="20"/>
  <c r="S8" i="20"/>
  <c r="Z8" i="20"/>
  <c r="D15" i="1"/>
  <c r="E15" i="1"/>
  <c r="F15" i="1"/>
  <c r="AF15" i="1"/>
  <c r="AE15" i="1"/>
  <c r="S7" i="20"/>
  <c r="X15" i="20"/>
  <c r="U15" i="20"/>
  <c r="W15" i="20"/>
  <c r="V15" i="20"/>
  <c r="Y15" i="20"/>
  <c r="T15" i="20"/>
  <c r="AC15" i="20"/>
  <c r="Z7" i="20"/>
  <c r="P15" i="20"/>
  <c r="Q15" i="20"/>
  <c r="O15" i="20"/>
  <c r="R15" i="20"/>
  <c r="M15" i="20"/>
  <c r="AA15" i="20"/>
  <c r="N15" i="20"/>
  <c r="AB15" i="20"/>
  <c r="G15" i="20"/>
  <c r="AC15" i="1"/>
  <c r="AD15" i="1"/>
  <c r="AB15" i="1"/>
  <c r="L7" i="20"/>
  <c r="L11" i="20"/>
  <c r="L8" i="20"/>
  <c r="L12" i="20"/>
  <c r="K15" i="20"/>
  <c r="L4" i="20"/>
  <c r="I15" i="20"/>
  <c r="H15" i="20"/>
  <c r="J15" i="20"/>
  <c r="L9" i="20"/>
  <c r="L10" i="20"/>
  <c r="L6" i="20"/>
  <c r="L14" i="20"/>
  <c r="L3" i="20"/>
  <c r="Z6" i="20"/>
  <c r="S6" i="20"/>
  <c r="S15" i="20" l="1"/>
  <c r="Z15" i="20"/>
  <c r="L1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Fedor</author>
    <author>Peter Fedor</author>
  </authors>
  <commentList>
    <comment ref="G2" authorId="0" shapeId="0" xr:uid="{088EA8C3-5D3C-4FE8-9D2D-258D28A59BB6}">
      <text>
        <r>
          <rPr>
            <b/>
            <sz val="9"/>
            <color indexed="81"/>
            <rFont val="Segoe UI"/>
            <family val="2"/>
            <charset val="238"/>
          </rPr>
          <t>Najvyššia v rámci bunky v čase pozorovania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2" authorId="0" shapeId="0" xr:uid="{CD73F59D-924E-4095-B070-93A75E1AB72F}">
      <text>
        <r>
          <rPr>
            <b/>
            <sz val="9"/>
            <color indexed="81"/>
            <rFont val="Tahoma"/>
            <family val="2"/>
            <charset val="238"/>
          </rPr>
          <t>Nad pozorovacím miestom</t>
        </r>
      </text>
    </comment>
    <comment ref="L2" authorId="0" shapeId="0" xr:uid="{8FA92789-51F9-4F27-ABD2-9B13069EF96D}">
      <text>
        <r>
          <rPr>
            <b/>
            <sz val="9"/>
            <color indexed="81"/>
            <rFont val="Tahoma"/>
            <family val="2"/>
            <charset val="238"/>
          </rPr>
          <t>V čase trvania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8" authorId="1" shapeId="0" xr:uid="{839C5923-8E2B-4202-BA99-6E93116EB041}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9" authorId="1" shapeId="0" xr:uid="{D191692B-2A5F-4DE9-BD85-724B6230C2C9}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0" authorId="1" shapeId="0" xr:uid="{F58E3F81-B528-4AB1-BDC6-F18FE9312F43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1" authorId="1" shapeId="0" xr:uid="{50154E6A-B878-475A-A619-BE51B5194E78}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62" authorId="1" shapeId="0" xr:uid="{0397B902-E4E0-41F5-AC00-72E2343FC40B}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3" authorId="1" shapeId="0" xr:uid="{4A55E373-C1B1-42AF-BDE4-602293D49A62}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4" authorId="1" shapeId="0" xr:uid="{CA6222CC-A705-448A-BDD9-5F936E755B69}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5" authorId="1" shapeId="0" xr:uid="{5F620D82-1D13-4ED7-B275-0E8B4C6A9443}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amplitúda teploty vzduchu
</t>
        </r>
      </text>
    </comment>
    <comment ref="E2" authorId="1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amplitúda teploty vzduchu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G2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Najvyššia priemerná denná teplota vzduchu</t>
        </r>
      </text>
    </comment>
    <comment ref="I2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Najnižšia priemerná denná teplota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K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L2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M2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O2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S2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U2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 xr:uid="{00000000-0006-0000-0200-000014000000}">
      <text>
        <r>
          <rPr>
            <b/>
            <sz val="9"/>
            <color indexed="81"/>
            <rFont val="Tahoma"/>
            <family val="2"/>
            <charset val="238"/>
          </rPr>
          <t>Najvyššia rýchlosť vetra (10 minútový priemer).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AB2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38"/>
          </rPr>
          <t>Najvyššia intenzita zrážok (1 min)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E2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1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tuhých častíc v ovzduší. Relatívna vlhkosť je nižšia ako 70%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1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častíc vodnej pary. Relatívna vlhkosť je vyššia ako 70%</t>
        </r>
      </text>
    </comment>
    <comment ref="O2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P2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Q2" authorId="0" shapeId="0" xr:uid="{00000000-0006-0000-0300-000010000000}">
      <text>
        <r>
          <rPr>
            <b/>
            <sz val="9"/>
            <color indexed="81"/>
            <rFont val="Tahoma"/>
            <family val="2"/>
            <charset val="238"/>
          </rPr>
          <t>( 0/8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 xr:uid="{00000000-0006-0000-0300-000013000000}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 (&lt;0.1 mm)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300-000017000000}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1" shapeId="0" xr:uid="{00000000-0006-0000-03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Dni s výskytom merateľných usadených zrážok (rosa, námraza, inoväť)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 xr:uid="{00000000-0006-0000-0300-000019000000}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AA2" authorId="1" shapeId="0" xr:uid="{00000000-0006-0000-0300-00001A000000}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1" shapeId="0" xr:uid="{00000000-0006-0000-0300-00001B000000}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1" shapeId="0" xr:uid="{00000000-0006-0000-0300-00001C000000}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<sst xmlns="http://schemas.openxmlformats.org/spreadsheetml/2006/main" count="732" uniqueCount="316">
  <si>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</si>
  <si>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</si>
  <si>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</si>
  <si>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</si>
  <si>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</si>
  <si>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</si>
  <si>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</si>
  <si>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</si>
  <si>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</si>
  <si>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</si>
  <si>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</si>
  <si>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</si>
  <si>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</si>
  <si>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</si>
  <si>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</si>
  <si>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</si>
  <si>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</si>
  <si>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</si>
  <si>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</si>
  <si>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</si>
  <si>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</si>
  <si>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</si>
  <si>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</si>
  <si>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</si>
  <si>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</si>
  <si>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</si>
  <si>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</si>
  <si>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</si>
  <si>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</si>
  <si>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</si>
  <si>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</si>
  <si>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</si>
  <si>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</si>
  <si>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</si>
  <si>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</si>
  <si>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</si>
  <si>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</si>
  <si>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</si>
  <si>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</si>
  <si>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</si>
  <si>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</si>
  <si>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</si>
  <si>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</si>
  <si>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max pr. Rýchlosť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</si>
  <si>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</si>
  <si>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</si>
  <si>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</si>
  <si>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</si>
  <si>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</si>
  <si>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</si>
  <si>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</si>
  <si>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</si>
  <si>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</si>
  <si>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</si>
  <si>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</si>
  <si>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</si>
  <si>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</si>
  <si>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</si>
  <si>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</si>
  <si>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</si>
  <si>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</si>
  <si>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</si>
  <si>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</si>
  <si>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</si>
  <si>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</si>
  <si>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</si>
  <si>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</si>
  <si>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</si>
  <si>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</si>
  <si>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</si>
  <si>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</si>
  <si>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</si>
  <si>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</si>
  <si>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</si>
  <si>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</si>
  <si>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</si>
  <si>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</si>
  <si>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</si>
  <si>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0 mm</t>
  </si>
  <si>
    <t>0 mm/h</t>
  </si>
  <si>
    <t>0 cm</t>
  </si>
  <si>
    <t>150 mm/h &lt;</t>
  </si>
  <si>
    <t>50 mm/h &lt;=&gt; 90 mm/h</t>
  </si>
  <si>
    <t>90 mm/h &lt;=&gt; 150 mm/h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</si>
  <si>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</si>
  <si>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</si>
  <si>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</si>
  <si>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</si>
  <si>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</si>
  <si>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</si>
  <si>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</si>
  <si>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</si>
  <si>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</si>
  <si>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</si>
  <si>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</si>
  <si>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</si>
  <si>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</si>
  <si>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</si>
  <si>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</si>
  <si>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</si>
  <si>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</si>
  <si>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</si>
  <si>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</si>
  <si>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</si>
  <si>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</si>
  <si>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</si>
  <si>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</si>
  <si>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</si>
  <si>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</si>
  <si>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</si>
  <si>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</si>
  <si>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</si>
  <si>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</si>
  <si>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</si>
  <si>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</si>
  <si>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</si>
  <si>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</si>
  <si>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</si>
  <si>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</si>
  <si>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</si>
  <si>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</si>
  <si>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</si>
  <si>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</si>
  <si>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</si>
  <si>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</si>
  <si>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</si>
  <si>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</si>
  <si>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</si>
  <si>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</si>
  <si>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</si>
  <si>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</si>
  <si>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</si>
  <si>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</si>
  <si>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</si>
  <si>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</si>
  <si>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</si>
  <si>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</si>
  <si>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</si>
  <si>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</si>
  <si>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</si>
  <si>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</si>
  <si>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</si>
  <si>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</si>
  <si>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</si>
  <si>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</si>
  <si>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</si>
  <si>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</si>
  <si>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</si>
  <si>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</si>
  <si>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</si>
  <si>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</si>
  <si>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</si>
  <si>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</si>
  <si>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</si>
  <si>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</si>
  <si>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</si>
  <si>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</si>
  <si>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</si>
  <si>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</si>
  <si>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</si>
  <si>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</si>
  <si>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</si>
  <si>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</si>
  <si>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</si>
  <si>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</si>
  <si>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</si>
  <si>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</si>
  <si>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</si>
  <si>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</si>
  <si>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</si>
  <si>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</si>
  <si>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</si>
  <si>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</si>
  <si>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</si>
  <si>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</si>
  <si>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</si>
  <si>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</si>
  <si>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</si>
  <si>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</si>
  <si>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</si>
  <si>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</si>
  <si>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</si>
  <si>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</si>
  <si>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</si>
  <si>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</si>
  <si>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</si>
  <si>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December:</t>
  </si>
  <si>
    <t>Dni so snehovou pokrývkou</t>
  </si>
  <si>
    <t>Dni s krupobitím</t>
  </si>
  <si>
    <t>slnečné dni</t>
  </si>
  <si>
    <t>maximálna odrazivosť</t>
  </si>
  <si>
    <t>Dni so SSP</t>
  </si>
  <si>
    <t>Dni s popraškom</t>
  </si>
  <si>
    <t>Dni s NSP</t>
  </si>
  <si>
    <t>Snehová pokrývka</t>
  </si>
  <si>
    <t>prevládajúci smer vetra</t>
  </si>
  <si>
    <t>organizácia</t>
  </si>
  <si>
    <t>Dni s dymnom</t>
  </si>
  <si>
    <t>ΔT</t>
  </si>
  <si>
    <r>
      <t>ΔT</t>
    </r>
    <r>
      <rPr>
        <sz val="8"/>
        <color theme="1"/>
        <rFont val="Calibri"/>
        <family val="2"/>
        <charset val="238"/>
        <scheme val="minor"/>
      </rPr>
      <t>min</t>
    </r>
  </si>
  <si>
    <r>
      <t>ΔT</t>
    </r>
    <r>
      <rPr>
        <sz val="8"/>
        <color theme="1"/>
        <rFont val="Calibri"/>
        <family val="2"/>
        <charset val="238"/>
        <scheme val="minor"/>
      </rPr>
      <t>max</t>
    </r>
  </si>
  <si>
    <t>max 24h sneh</t>
  </si>
  <si>
    <t>Iniciácia</t>
  </si>
  <si>
    <t>Okolnosti vzniku</t>
  </si>
  <si>
    <t>Dni s bezoblačnou oblohou</t>
  </si>
  <si>
    <t>Dohľadnosť a oblačnosť</t>
  </si>
  <si>
    <t>Dni so zákalom</t>
  </si>
  <si>
    <t>Dni s usadenými zrážkami</t>
  </si>
  <si>
    <r>
      <t>H</t>
    </r>
    <r>
      <rPr>
        <sz val="8"/>
        <color theme="1"/>
        <rFont val="Calibri"/>
        <family val="2"/>
        <charset val="238"/>
        <scheme val="minor"/>
      </rPr>
      <t>max. (&gt;95%)</t>
    </r>
  </si>
  <si>
    <t>intenzita (1 min priemer)</t>
  </si>
  <si>
    <t>maximálna odrazivosť 2</t>
  </si>
  <si>
    <r>
      <t>T</t>
    </r>
    <r>
      <rPr>
        <sz val="8"/>
        <color theme="1"/>
        <rFont val="Calibri"/>
        <family val="2"/>
        <charset val="238"/>
        <scheme val="minor"/>
      </rPr>
      <t>dpr.1min</t>
    </r>
  </si>
  <si>
    <r>
      <t>H</t>
    </r>
    <r>
      <rPr>
        <sz val="8"/>
        <color theme="1"/>
        <rFont val="Calibri"/>
        <family val="2"/>
        <charset val="238"/>
        <scheme val="minor"/>
      </rPr>
      <t>pr.1min</t>
    </r>
  </si>
  <si>
    <t>S , N</t>
  </si>
  <si>
    <t>8/8, dymno</t>
  </si>
  <si>
    <t>5/8</t>
  </si>
  <si>
    <t>S , Z</t>
  </si>
  <si>
    <t>6/8, SSP</t>
  </si>
  <si>
    <t>8/8</t>
  </si>
  <si>
    <t>7/8</t>
  </si>
  <si>
    <t>D , S , Z</t>
  </si>
  <si>
    <t>S , D , Z</t>
  </si>
  <si>
    <t>D , N</t>
  </si>
  <si>
    <t>7/8, ráno hmla</t>
  </si>
  <si>
    <t>D , Z</t>
  </si>
  <si>
    <t>7/8, dymno</t>
  </si>
  <si>
    <t>7/8, poprašok</t>
  </si>
  <si>
    <t>8/8, SSP</t>
  </si>
  <si>
    <t>6/8, zákal</t>
  </si>
  <si>
    <t>8/8, SSP, dymno</t>
  </si>
  <si>
    <t>8/8, hmla, NSP</t>
  </si>
  <si>
    <t>8/8, NSP, v noci hmla</t>
  </si>
  <si>
    <t>8/8, NSP, dymno</t>
  </si>
  <si>
    <t>8/8, poprašok, v noci hmla</t>
  </si>
  <si>
    <t>7/8, ráno a v noci hmla</t>
  </si>
  <si>
    <t>8/8, nadránom hmla, dymno</t>
  </si>
  <si>
    <t>8/8, prehánky</t>
  </si>
  <si>
    <t>2/8, ráno hmla, slnečný deň</t>
  </si>
  <si>
    <t>6/8</t>
  </si>
  <si>
    <t>J</t>
  </si>
  <si>
    <t>JZ</t>
  </si>
  <si>
    <t>SV</t>
  </si>
  <si>
    <t>S</t>
  </si>
  <si>
    <t>3/8</t>
  </si>
  <si>
    <t>6/8, halové javy (22° halo)</t>
  </si>
  <si>
    <t>7/8, ráno dymno, halové javy (22° halo)</t>
  </si>
  <si>
    <t>3/8, slnečný deň</t>
  </si>
  <si>
    <t>1/8, slnečný deň, ráno dymno</t>
  </si>
  <si>
    <t>1/8, slnečný deň</t>
  </si>
  <si>
    <t>6/8, halové javy (22° halo, horný dotykový oblúk)</t>
  </si>
  <si>
    <t>7/8, snehové prehánky</t>
  </si>
  <si>
    <t>4/8, snehové prehánky</t>
  </si>
  <si>
    <t>2/8</t>
  </si>
  <si>
    <t>5/8, snehové prehánky</t>
  </si>
  <si>
    <t>1/8, slnečný deň, zákal</t>
  </si>
  <si>
    <t>2/8, slnečný deň, zákal</t>
  </si>
  <si>
    <t>7/8, hmla v chuchvalcoch</t>
  </si>
  <si>
    <t>D , S , N</t>
  </si>
  <si>
    <t>6/8, ráno hmla, prehánky</t>
  </si>
  <si>
    <t>7/8, SSP</t>
  </si>
  <si>
    <t>7/8, dymno, v noci hmla, SSP</t>
  </si>
  <si>
    <t>7/8, ráno hmla, dymno, NSP</t>
  </si>
  <si>
    <t>3/8, ráno hmla, slnečný deň</t>
  </si>
  <si>
    <t>1/8, ráno hmla, slnečný deň</t>
  </si>
  <si>
    <t>7/8, prehánky</t>
  </si>
  <si>
    <t>7/8, v noci hmla, prehánky, búrka</t>
  </si>
  <si>
    <t>15:15-16:30</t>
  </si>
  <si>
    <t>zvlnený studený front</t>
  </si>
  <si>
    <t>frontálne rozhranie</t>
  </si>
  <si>
    <t>Iniciácia v rámci frontálnej vlny na strednom Slovensku a postupná organizácia do konvektívnej línie.</t>
  </si>
  <si>
    <t>áno</t>
  </si>
  <si>
    <t>ZJZ-VSV</t>
  </si>
  <si>
    <t>squall line</t>
  </si>
  <si>
    <t>W , L , D , Z</t>
  </si>
  <si>
    <t>6/8, snehové prehánky</t>
  </si>
  <si>
    <t>0/8, slnečný deň</t>
  </si>
  <si>
    <t>5/8, slnečný deň</t>
  </si>
  <si>
    <t>6/8, ráno hmla</t>
  </si>
  <si>
    <t>6/8, dymno</t>
  </si>
  <si>
    <t>2/8, slnečný deň</t>
  </si>
  <si>
    <t>4/8</t>
  </si>
  <si>
    <t>8:00-8:30</t>
  </si>
  <si>
    <t>studený front</t>
  </si>
  <si>
    <t>W , V , D , Z</t>
  </si>
  <si>
    <t>SZ-JV</t>
  </si>
  <si>
    <t>7/8, búrka</t>
  </si>
  <si>
    <t>7/8, SSP, snehové prehánky</t>
  </si>
  <si>
    <t>4/8, slnečný deň</t>
  </si>
  <si>
    <t>5/8, ráno hmla</t>
  </si>
  <si>
    <t>11:45-13:00</t>
  </si>
  <si>
    <t>orografia</t>
  </si>
  <si>
    <t>multicela</t>
  </si>
  <si>
    <t>Z-V</t>
  </si>
  <si>
    <t>V</t>
  </si>
  <si>
    <t>outflow boundary</t>
  </si>
  <si>
    <t>SV-JZ</t>
  </si>
  <si>
    <t xml:space="preserve">Orograficky iniciovaná konvekcia v oblasti Karpát propagujúca sa na outflow boundary smerom na západ, v teplom vzduchu pred rozpadávajúcim sa studeným frontom. </t>
  </si>
  <si>
    <t>MCS</t>
  </si>
  <si>
    <t>5/8, ráno hmla, prehánky, búrka</t>
  </si>
  <si>
    <t>Pravdepodobne obnova MCS na outflowe.</t>
  </si>
  <si>
    <t>19:50-21:30</t>
  </si>
  <si>
    <t>P , D , Z</t>
  </si>
  <si>
    <t>nevýrazné tlakové pole</t>
  </si>
  <si>
    <t>JJV</t>
  </si>
  <si>
    <t>VJV-ZSZ</t>
  </si>
  <si>
    <t>Obnovujúca sa konvekcia propagujúca sa na outflowe z Karpát na ZSZ. Jadro zrážok sa v rámci najitenzívnejšej bunky vyskytlo priamo nad pozorovacím miestom, pričom zrážky vypadli zhruba 1-2 km juho-juhovýchodne od pozorovacieho miesta. V ňom pravdepodobný výskyt veľkého množstva malých krúp. V stratiformnom regióne za bunkami identifikovaný na radare nevýrazný MCV.</t>
  </si>
  <si>
    <t>14:30-17:00</t>
  </si>
  <si>
    <t>W , P , D , Z</t>
  </si>
  <si>
    <t>6/8, ráno dymno, ráno a večer hmla v chcuchvalcoch, poobede prehánky, búrka</t>
  </si>
  <si>
    <t>18:00-18:50</t>
  </si>
  <si>
    <t>JJV-SSZ</t>
  </si>
  <si>
    <t>JZ-SV</t>
  </si>
  <si>
    <t>P</t>
  </si>
  <si>
    <t>13:00-14:50</t>
  </si>
  <si>
    <t>7/8, ráno hmla v chuchvalcoch, búrka</t>
  </si>
  <si>
    <t>ráno hmla, dymno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</si>
</sst>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charset val="238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65" applyNumberFormat="0" applyFill="0" applyAlignment="0" applyProtection="0"/>
    <xf numFmtId="0" fontId="15" fillId="0" borderId="66" applyNumberFormat="0" applyFill="0" applyAlignment="0" applyProtection="0"/>
    <xf numFmtId="0" fontId="16" fillId="0" borderId="67" applyNumberFormat="0" applyFill="0" applyAlignment="0" applyProtection="0"/>
    <xf numFmtId="0" fontId="16" fillId="0" borderId="0" applyNumberFormat="0" applyFill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68" applyNumberFormat="0" applyAlignment="0" applyProtection="0"/>
    <xf numFmtId="0" fontId="21" fillId="37" borderId="69" applyNumberFormat="0" applyAlignment="0" applyProtection="0"/>
    <xf numFmtId="0" fontId="22" fillId="37" borderId="68" applyNumberFormat="0" applyAlignment="0" applyProtection="0"/>
    <xf numFmtId="0" fontId="23" fillId="0" borderId="70" applyNumberFormat="0" applyFill="0" applyAlignment="0" applyProtection="0"/>
    <xf numFmtId="0" fontId="24" fillId="38" borderId="71" applyNumberFormat="0" applyAlignment="0" applyProtection="0"/>
    <xf numFmtId="0" fontId="25" fillId="0" borderId="0" applyNumberFormat="0" applyFill="0" applyBorder="0" applyAlignment="0" applyProtection="0"/>
    <xf numFmtId="0" fontId="12" fillId="39" borderId="72" applyNumberFormat="0" applyFont="0" applyAlignment="0" applyProtection="0"/>
    <xf numFmtId="0" fontId="26" fillId="0" borderId="0" applyNumberFormat="0" applyFill="0" applyBorder="0" applyAlignment="0" applyProtection="0"/>
    <xf numFmtId="0" fontId="7" fillId="0" borderId="73" applyNumberFormat="0" applyFill="0" applyAlignment="0" applyProtection="0"/>
    <xf numFmtId="0" fontId="27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27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27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27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27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27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28" fillId="0" borderId="0"/>
  </cellStyleXfs>
  <cellXfs count="523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Border="1" applyAlignment="1">
      <alignment wrapText="1"/>
    </xf>
    <xf numFmtId="170" fontId="0" fillId="0" borderId="0" xfId="0" applyNumberFormat="1"/>
    <xf numFmtId="171" fontId="0" fillId="0" borderId="5" xfId="0" applyNumberFormat="1" applyBorder="1" applyAlignment="1">
      <alignment wrapText="1"/>
    </xf>
    <xf numFmtId="171" fontId="0" fillId="0" borderId="0" xfId="0" applyNumberFormat="1"/>
    <xf numFmtId="171" fontId="0" fillId="0" borderId="6" xfId="0" applyNumberFormat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5" xfId="0" applyBorder="1"/>
    <xf numFmtId="164" fontId="0" fillId="0" borderId="5" xfId="0" applyNumberFormat="1" applyBorder="1"/>
    <xf numFmtId="0" fontId="0" fillId="0" borderId="28" xfId="0" applyBorder="1"/>
    <xf numFmtId="0" fontId="0" fillId="0" borderId="5" xfId="0" applyBorder="1"/>
    <xf numFmtId="164" fontId="0" fillId="0" borderId="23" xfId="0" applyNumberFormat="1" applyBorder="1"/>
    <xf numFmtId="164" fontId="0" fillId="0" borderId="13" xfId="0" applyNumberFormat="1" applyBorder="1"/>
    <xf numFmtId="167" fontId="0" fillId="0" borderId="14" xfId="0" applyNumberFormat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Border="1" applyAlignment="1">
      <alignment wrapText="1"/>
    </xf>
    <xf numFmtId="165" fontId="0" fillId="0" borderId="28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6" fontId="0" fillId="0" borderId="14" xfId="0" applyNumberFormat="1" applyBorder="1"/>
    <xf numFmtId="165" fontId="0" fillId="0" borderId="14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1" fontId="0" fillId="0" borderId="21" xfId="0" applyNumberFormat="1" applyBorder="1"/>
    <xf numFmtId="1" fontId="0" fillId="23" borderId="28" xfId="0" applyNumberFormat="1" applyFill="1" applyBorder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27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66" fontId="0" fillId="0" borderId="39" xfId="0" applyNumberFormat="1" applyBorder="1"/>
    <xf numFmtId="0" fontId="0" fillId="0" borderId="44" xfId="0" applyBorder="1"/>
    <xf numFmtId="0" fontId="0" fillId="0" borderId="45" xfId="0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Border="1" applyAlignment="1">
      <alignment wrapText="1"/>
    </xf>
    <xf numFmtId="0" fontId="0" fillId="22" borderId="7" xfId="0" applyFill="1" applyBorder="1" applyAlignment="1">
      <alignment horizontal="center" wrapText="1"/>
    </xf>
    <xf numFmtId="0" fontId="1" fillId="0" borderId="37" xfId="0" applyFont="1" applyBorder="1" applyAlignment="1">
      <alignment vertical="center" wrapText="1"/>
    </xf>
    <xf numFmtId="0" fontId="1" fillId="27" borderId="5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166" fontId="0" fillId="0" borderId="47" xfId="0" applyNumberFormat="1" applyBorder="1"/>
    <xf numFmtId="166" fontId="0" fillId="0" borderId="48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0" borderId="32" xfId="0" applyNumberFormat="1" applyBorder="1"/>
    <xf numFmtId="0" fontId="0" fillId="20" borderId="18" xfId="0" applyFill="1" applyBorder="1"/>
    <xf numFmtId="0" fontId="0" fillId="20" borderId="9" xfId="0" applyFill="1" applyBorder="1"/>
    <xf numFmtId="0" fontId="0" fillId="20" borderId="19" xfId="0" applyFill="1" applyBorder="1"/>
    <xf numFmtId="0" fontId="0" fillId="20" borderId="18" xfId="0" applyFill="1" applyBorder="1" applyAlignment="1">
      <alignment wrapText="1"/>
    </xf>
    <xf numFmtId="0" fontId="0" fillId="20" borderId="8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0" borderId="40" xfId="0" applyBorder="1"/>
    <xf numFmtId="0" fontId="0" fillId="0" borderId="24" xfId="0" applyBorder="1"/>
    <xf numFmtId="0" fontId="0" fillId="0" borderId="16" xfId="0" applyBorder="1"/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47" xfId="0" applyBorder="1" applyAlignment="1">
      <alignment horizontal="left" vertical="center"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1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38" xfId="0" applyNumberFormat="1" applyBorder="1"/>
    <xf numFmtId="1" fontId="0" fillId="0" borderId="41" xfId="0" applyNumberFormat="1" applyBorder="1"/>
    <xf numFmtId="1" fontId="0" fillId="23" borderId="4" xfId="0" applyNumberFormat="1" applyFill="1" applyBorder="1"/>
    <xf numFmtId="170" fontId="0" fillId="0" borderId="6" xfId="0" applyNumberFormat="1" applyBorder="1" applyAlignment="1">
      <alignment vertical="center" wrapText="1"/>
    </xf>
    <xf numFmtId="1" fontId="0" fillId="23" borderId="35" xfId="0" applyNumberFormat="1" applyFill="1" applyBorder="1"/>
    <xf numFmtId="164" fontId="0" fillId="0" borderId="52" xfId="0" applyNumberFormat="1" applyBorder="1" applyAlignment="1">
      <alignment horizontal="left" vertical="center" wrapText="1"/>
    </xf>
    <xf numFmtId="164" fontId="0" fillId="0" borderId="47" xfId="0" applyNumberFormat="1" applyBorder="1" applyAlignment="1">
      <alignment horizontal="left" vertical="center" wrapText="1"/>
    </xf>
    <xf numFmtId="164" fontId="0" fillId="0" borderId="53" xfId="0" applyNumberFormat="1" applyBorder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1" fillId="2" borderId="34" xfId="0" applyFont="1" applyFill="1" applyBorder="1"/>
    <xf numFmtId="171" fontId="0" fillId="0" borderId="49" xfId="0" applyNumberForma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6" xfId="0" applyNumberFormat="1" applyBorder="1"/>
    <xf numFmtId="1" fontId="0" fillId="0" borderId="20" xfId="0" applyNumberFormat="1" applyBorder="1"/>
    <xf numFmtId="1" fontId="0" fillId="0" borderId="42" xfId="0" applyNumberFormat="1" applyBorder="1"/>
    <xf numFmtId="164" fontId="0" fillId="0" borderId="54" xfId="0" applyNumberFormat="1" applyBorder="1"/>
    <xf numFmtId="0" fontId="0" fillId="0" borderId="14" xfId="0" applyBorder="1"/>
    <xf numFmtId="49" fontId="0" fillId="20" borderId="10" xfId="0" applyNumberFormat="1" applyFill="1" applyBorder="1" applyAlignment="1">
      <alignment horizontal="center" wrapText="1"/>
    </xf>
    <xf numFmtId="49" fontId="0" fillId="2" borderId="43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/>
    <xf numFmtId="49" fontId="0" fillId="0" borderId="46" xfId="0" applyNumberFormat="1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2" borderId="25" xfId="0" applyFill="1" applyBorder="1"/>
    <xf numFmtId="173" fontId="0" fillId="0" borderId="25" xfId="0" applyNumberFormat="1" applyBorder="1" applyAlignment="1">
      <alignment vertical="center" wrapText="1"/>
    </xf>
    <xf numFmtId="0" fontId="4" fillId="20" borderId="4" xfId="0" applyFont="1" applyFill="1" applyBorder="1" applyAlignment="1">
      <alignment vertical="center" wrapText="1"/>
    </xf>
    <xf numFmtId="49" fontId="0" fillId="0" borderId="22" xfId="0" applyNumberFormat="1" applyBorder="1" applyAlignment="1">
      <alignment horizontal="left" wrapText="1"/>
    </xf>
    <xf numFmtId="164" fontId="0" fillId="0" borderId="2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6" fontId="0" fillId="0" borderId="23" xfId="0" applyNumberForma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24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0" fillId="0" borderId="21" xfId="0" applyNumberFormat="1" applyBorder="1" applyAlignment="1">
      <alignment wrapText="1"/>
    </xf>
    <xf numFmtId="167" fontId="0" fillId="0" borderId="7" xfId="0" applyNumberFormat="1" applyBorder="1" applyAlignment="1">
      <alignment wrapText="1"/>
    </xf>
    <xf numFmtId="0" fontId="0" fillId="0" borderId="24" xfId="0" applyBorder="1" applyAlignment="1">
      <alignment wrapText="1"/>
    </xf>
    <xf numFmtId="169" fontId="0" fillId="0" borderId="7" xfId="0" applyNumberFormat="1" applyBorder="1" applyAlignment="1">
      <alignment wrapText="1"/>
    </xf>
    <xf numFmtId="170" fontId="0" fillId="0" borderId="7" xfId="0" applyNumberFormat="1" applyBorder="1" applyAlignment="1">
      <alignment wrapText="1"/>
    </xf>
    <xf numFmtId="171" fontId="0" fillId="0" borderId="7" xfId="0" applyNumberFormat="1" applyBorder="1" applyAlignment="1">
      <alignment wrapText="1"/>
    </xf>
    <xf numFmtId="20" fontId="0" fillId="0" borderId="7" xfId="0" applyNumberFormat="1" applyBorder="1" applyAlignment="1">
      <alignment vertical="center" wrapText="1"/>
    </xf>
    <xf numFmtId="165" fontId="0" fillId="0" borderId="5" xfId="0" applyNumberFormat="1" applyBorder="1" applyAlignment="1">
      <alignment horizontal="left" vertical="center" wrapText="1"/>
    </xf>
    <xf numFmtId="167" fontId="0" fillId="0" borderId="6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7" fontId="0" fillId="0" borderId="11" xfId="0" applyNumberFormat="1" applyBorder="1"/>
    <xf numFmtId="167" fontId="0" fillId="0" borderId="12" xfId="0" applyNumberFormat="1" applyBorder="1"/>
    <xf numFmtId="0" fontId="0" fillId="0" borderId="15" xfId="0" applyBorder="1"/>
    <xf numFmtId="0" fontId="0" fillId="22" borderId="20" xfId="0" applyFill="1" applyBorder="1" applyAlignment="1">
      <alignment horizontal="center" wrapText="1"/>
    </xf>
    <xf numFmtId="0" fontId="0" fillId="17" borderId="20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0" fillId="0" borderId="55" xfId="0" applyNumberFormat="1" applyBorder="1"/>
    <xf numFmtId="164" fontId="0" fillId="0" borderId="37" xfId="0" applyNumberFormat="1" applyBorder="1"/>
    <xf numFmtId="164" fontId="0" fillId="0" borderId="42" xfId="0" applyNumberFormat="1" applyBorder="1"/>
    <xf numFmtId="164" fontId="0" fillId="0" borderId="56" xfId="0" applyNumberFormat="1" applyBorder="1"/>
    <xf numFmtId="166" fontId="0" fillId="0" borderId="55" xfId="0" applyNumberFormat="1" applyBorder="1"/>
    <xf numFmtId="166" fontId="0" fillId="0" borderId="37" xfId="0" applyNumberFormat="1" applyBorder="1"/>
    <xf numFmtId="166" fontId="0" fillId="0" borderId="56" xfId="0" applyNumberFormat="1" applyBorder="1"/>
    <xf numFmtId="165" fontId="0" fillId="0" borderId="37" xfId="0" applyNumberFormat="1" applyBorder="1"/>
    <xf numFmtId="167" fontId="0" fillId="0" borderId="55" xfId="0" applyNumberFormat="1" applyBorder="1"/>
    <xf numFmtId="167" fontId="0" fillId="0" borderId="41" xfId="0" applyNumberFormat="1" applyBorder="1"/>
    <xf numFmtId="167" fontId="0" fillId="0" borderId="37" xfId="0" applyNumberFormat="1" applyBorder="1"/>
    <xf numFmtId="0" fontId="0" fillId="0" borderId="56" xfId="0" applyBorder="1"/>
    <xf numFmtId="169" fontId="0" fillId="0" borderId="37" xfId="0" applyNumberFormat="1" applyBorder="1"/>
    <xf numFmtId="170" fontId="0" fillId="0" borderId="37" xfId="0" applyNumberFormat="1" applyBorder="1"/>
    <xf numFmtId="171" fontId="0" fillId="0" borderId="37" xfId="0" applyNumberFormat="1" applyBorder="1"/>
    <xf numFmtId="49" fontId="0" fillId="0" borderId="57" xfId="0" applyNumberFormat="1" applyBorder="1" applyAlignment="1">
      <alignment wrapText="1"/>
    </xf>
    <xf numFmtId="0" fontId="0" fillId="0" borderId="37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58" xfId="0" applyNumberFormat="1" applyBorder="1"/>
    <xf numFmtId="164" fontId="0" fillId="0" borderId="15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166" fontId="0" fillId="0" borderId="15" xfId="0" applyNumberFormat="1" applyBorder="1"/>
    <xf numFmtId="165" fontId="0" fillId="0" borderId="12" xfId="0" applyNumberFormat="1" applyBorder="1"/>
    <xf numFmtId="167" fontId="0" fillId="0" borderId="59" xfId="0" applyNumberFormat="1" applyBorder="1"/>
    <xf numFmtId="169" fontId="0" fillId="2" borderId="12" xfId="0" applyNumberFormat="1" applyFill="1" applyBorder="1"/>
    <xf numFmtId="170" fontId="0" fillId="2" borderId="12" xfId="0" applyNumberFormat="1" applyFill="1" applyBorder="1"/>
    <xf numFmtId="171" fontId="0" fillId="2" borderId="12" xfId="0" applyNumberFormat="1" applyFill="1" applyBorder="1"/>
    <xf numFmtId="49" fontId="0" fillId="2" borderId="60" xfId="0" applyNumberFormat="1" applyFill="1" applyBorder="1" applyAlignment="1">
      <alignment wrapText="1"/>
    </xf>
    <xf numFmtId="0" fontId="0" fillId="0" borderId="12" xfId="0" applyBorder="1"/>
    <xf numFmtId="0" fontId="0" fillId="0" borderId="4" xfId="0" applyBorder="1" applyAlignment="1">
      <alignment horizontal="left" vertical="center" wrapText="1"/>
    </xf>
    <xf numFmtId="169" fontId="0" fillId="0" borderId="28" xfId="0" applyNumberFormat="1" applyBorder="1" applyAlignment="1">
      <alignment vertical="center" wrapText="1"/>
    </xf>
    <xf numFmtId="167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3" fontId="0" fillId="0" borderId="7" xfId="0" applyNumberFormat="1" applyBorder="1" applyAlignment="1">
      <alignment vertical="center"/>
    </xf>
    <xf numFmtId="168" fontId="0" fillId="0" borderId="7" xfId="0" applyNumberFormat="1" applyBorder="1" applyAlignment="1">
      <alignment vertical="center"/>
    </xf>
    <xf numFmtId="0" fontId="0" fillId="2" borderId="37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0" fillId="2" borderId="61" xfId="0" applyFill="1" applyBorder="1" applyAlignment="1">
      <alignment wrapText="1"/>
    </xf>
    <xf numFmtId="164" fontId="0" fillId="0" borderId="59" xfId="0" applyNumberFormat="1" applyBorder="1"/>
    <xf numFmtId="0" fontId="0" fillId="0" borderId="2" xfId="0" applyBorder="1"/>
    <xf numFmtId="0" fontId="0" fillId="0" borderId="62" xfId="0" applyBorder="1"/>
    <xf numFmtId="49" fontId="1" fillId="9" borderId="10" xfId="0" applyNumberFormat="1" applyFont="1" applyFill="1" applyBorder="1" applyAlignment="1">
      <alignment horizontal="center" vertical="center" wrapText="1"/>
    </xf>
    <xf numFmtId="172" fontId="1" fillId="27" borderId="50" xfId="0" applyNumberFormat="1" applyFont="1" applyFill="1" applyBorder="1" applyAlignment="1">
      <alignment horizontal="center" vertical="center" wrapText="1"/>
    </xf>
    <xf numFmtId="172" fontId="2" fillId="17" borderId="36" xfId="0" applyNumberFormat="1" applyFont="1" applyFill="1" applyBorder="1" applyAlignment="1">
      <alignment horizontal="center"/>
    </xf>
    <xf numFmtId="172" fontId="2" fillId="16" borderId="36" xfId="0" applyNumberFormat="1" applyFont="1" applyFill="1" applyBorder="1" applyAlignment="1">
      <alignment horizontal="center"/>
    </xf>
    <xf numFmtId="172" fontId="0" fillId="14" borderId="36" xfId="0" applyNumberFormat="1" applyFill="1" applyBorder="1" applyAlignment="1">
      <alignment horizontal="center" vertical="center" wrapText="1"/>
    </xf>
    <xf numFmtId="172" fontId="0" fillId="10" borderId="36" xfId="0" applyNumberFormat="1" applyFill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20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25" xfId="0" applyNumberFormat="1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173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0" borderId="41" xfId="0" applyBorder="1"/>
    <xf numFmtId="0" fontId="0" fillId="20" borderId="5" xfId="0" applyFill="1" applyBorder="1"/>
    <xf numFmtId="0" fontId="2" fillId="2" borderId="7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0" fillId="0" borderId="38" xfId="0" applyBorder="1"/>
    <xf numFmtId="0" fontId="0" fillId="2" borderId="63" xfId="0" applyFill="1" applyBorder="1" applyAlignment="1">
      <alignment wrapText="1"/>
    </xf>
    <xf numFmtId="166" fontId="0" fillId="0" borderId="52" xfId="0" applyNumberFormat="1" applyBorder="1"/>
    <xf numFmtId="0" fontId="0" fillId="20" borderId="8" xfId="0" applyFill="1" applyBorder="1"/>
    <xf numFmtId="164" fontId="0" fillId="0" borderId="27" xfId="0" applyNumberFormat="1" applyBorder="1"/>
    <xf numFmtId="164" fontId="0" fillId="0" borderId="21" xfId="0" applyNumberFormat="1" applyBorder="1" applyAlignment="1">
      <alignment wrapText="1"/>
    </xf>
    <xf numFmtId="164" fontId="0" fillId="0" borderId="41" xfId="0" applyNumberFormat="1" applyBorder="1"/>
    <xf numFmtId="0" fontId="4" fillId="0" borderId="10" xfId="0" applyFont="1" applyBorder="1"/>
    <xf numFmtId="14" fontId="0" fillId="0" borderId="43" xfId="0" applyNumberFormat="1" applyBorder="1"/>
    <xf numFmtId="14" fontId="0" fillId="0" borderId="22" xfId="0" applyNumberFormat="1" applyBorder="1"/>
    <xf numFmtId="14" fontId="0" fillId="0" borderId="17" xfId="0" applyNumberFormat="1" applyBorder="1"/>
    <xf numFmtId="0" fontId="0" fillId="0" borderId="46" xfId="0" applyBorder="1"/>
    <xf numFmtId="0" fontId="0" fillId="20" borderId="64" xfId="0" applyFill="1" applyBorder="1"/>
    <xf numFmtId="164" fontId="0" fillId="0" borderId="20" xfId="0" applyNumberFormat="1" applyBorder="1" applyAlignment="1">
      <alignment wrapText="1"/>
    </xf>
    <xf numFmtId="165" fontId="0" fillId="0" borderId="27" xfId="0" applyNumberFormat="1" applyBorder="1"/>
    <xf numFmtId="165" fontId="0" fillId="0" borderId="21" xfId="0" applyNumberFormat="1" applyBorder="1"/>
    <xf numFmtId="165" fontId="0" fillId="0" borderId="21" xfId="0" applyNumberFormat="1" applyBorder="1" applyAlignment="1">
      <alignment wrapText="1"/>
    </xf>
    <xf numFmtId="165" fontId="0" fillId="0" borderId="41" xfId="0" applyNumberFormat="1" applyBorder="1"/>
    <xf numFmtId="165" fontId="0" fillId="0" borderId="59" xfId="0" applyNumberFormat="1" applyBorder="1"/>
    <xf numFmtId="165" fontId="0" fillId="0" borderId="32" xfId="0" applyNumberFormat="1" applyBorder="1"/>
    <xf numFmtId="165" fontId="0" fillId="0" borderId="26" xfId="0" applyNumberFormat="1" applyBorder="1"/>
    <xf numFmtId="165" fontId="0" fillId="0" borderId="20" xfId="0" applyNumberFormat="1" applyBorder="1"/>
    <xf numFmtId="165" fontId="0" fillId="0" borderId="20" xfId="0" applyNumberFormat="1" applyBorder="1" applyAlignment="1">
      <alignment wrapText="1"/>
    </xf>
    <xf numFmtId="165" fontId="0" fillId="0" borderId="42" xfId="0" applyNumberFormat="1" applyBorder="1"/>
    <xf numFmtId="165" fontId="0" fillId="0" borderId="58" xfId="0" applyNumberFormat="1" applyBorder="1"/>
    <xf numFmtId="165" fontId="0" fillId="0" borderId="36" xfId="0" applyNumberFormat="1" applyBorder="1"/>
    <xf numFmtId="165" fontId="0" fillId="0" borderId="54" xfId="0" applyNumberFormat="1" applyBorder="1"/>
    <xf numFmtId="165" fontId="0" fillId="0" borderId="53" xfId="0" applyNumberFormat="1" applyBorder="1"/>
    <xf numFmtId="0" fontId="0" fillId="2" borderId="27" xfId="0" applyFill="1" applyBorder="1" applyAlignment="1">
      <alignment wrapText="1"/>
    </xf>
    <xf numFmtId="0" fontId="0" fillId="0" borderId="41" xfId="0" applyBorder="1" applyAlignment="1">
      <alignment wrapText="1"/>
    </xf>
    <xf numFmtId="0" fontId="0" fillId="20" borderId="64" xfId="0" applyFill="1" applyBorder="1" applyAlignment="1">
      <alignment wrapText="1"/>
    </xf>
    <xf numFmtId="171" fontId="0" fillId="2" borderId="26" xfId="0" applyNumberFormat="1" applyFill="1" applyBorder="1"/>
    <xf numFmtId="171" fontId="0" fillId="2" borderId="20" xfId="0" applyNumberFormat="1" applyFill="1" applyBorder="1"/>
    <xf numFmtId="171" fontId="0" fillId="0" borderId="20" xfId="0" applyNumberFormat="1" applyBorder="1" applyAlignment="1">
      <alignment wrapText="1"/>
    </xf>
    <xf numFmtId="171" fontId="0" fillId="0" borderId="20" xfId="0" applyNumberFormat="1" applyBorder="1"/>
    <xf numFmtId="171" fontId="0" fillId="0" borderId="42" xfId="0" applyNumberFormat="1" applyBorder="1"/>
    <xf numFmtId="171" fontId="0" fillId="2" borderId="58" xfId="0" applyNumberFormat="1" applyFill="1" applyBorder="1"/>
    <xf numFmtId="171" fontId="0" fillId="0" borderId="54" xfId="0" applyNumberFormat="1" applyBorder="1"/>
    <xf numFmtId="0" fontId="0" fillId="0" borderId="8" xfId="0" applyBorder="1"/>
    <xf numFmtId="0" fontId="0" fillId="0" borderId="27" xfId="0" applyBorder="1"/>
    <xf numFmtId="0" fontId="0" fillId="0" borderId="59" xfId="0" applyBorder="1"/>
    <xf numFmtId="49" fontId="0" fillId="2" borderId="21" xfId="0" applyNumberFormat="1" applyFill="1" applyBorder="1" applyAlignment="1">
      <alignment wrapText="1"/>
    </xf>
    <xf numFmtId="0" fontId="0" fillId="0" borderId="32" xfId="0" applyBorder="1"/>
    <xf numFmtId="172" fontId="0" fillId="0" borderId="12" xfId="0" applyNumberForma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36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2" fillId="14" borderId="20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/>
    </xf>
    <xf numFmtId="0" fontId="2" fillId="17" borderId="36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2" fillId="21" borderId="20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2" xfId="0" applyNumberFormat="1" applyFont="1" applyFill="1" applyBorder="1" applyAlignment="1">
      <alignment horizontal="center"/>
    </xf>
    <xf numFmtId="165" fontId="1" fillId="25" borderId="3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Normálna 2" xfId="42" xr:uid="{F63A1240-5C19-4EB5-8953-F2397F6BA949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64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00B0F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D6009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rgb="FFFF6699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4"/>
  <dimension ref="A1:AC367"/>
  <sheetViews>
    <sheetView tabSelected="1" zoomScale="85" zoomScaleNormal="85" workbookViewId="0">
      <pane xSplit="1" ySplit="2" topLeftCell="B96" activePane="bottomRight" state="frozen"/>
      <selection activeCell="K52" sqref="K52"/>
      <selection pane="topRight" activeCell="K52" sqref="K52"/>
      <selection pane="bottomLeft" activeCell="K52" sqref="K52"/>
      <selection pane="bottomRight" activeCell="AB122" sqref="AB122"/>
    </sheetView>
  </sheetViews>
  <sheetFormatPr defaultRowHeight="14.4" x14ac:dyDescent="0.3"/>
  <cols>
    <col min="1" max="1" width="10.88671875" style="373" customWidth="1"/>
    <col min="2" max="2" width="7.33203125" style="91" customWidth="1"/>
    <col min="3" max="8" width="7.33203125" customWidth="1"/>
    <col min="9" max="9" width="7.33203125" style="92" customWidth="1"/>
    <col min="10" max="12" width="7.33203125" customWidth="1"/>
    <col min="13" max="13" width="7.33203125" style="91" customWidth="1"/>
    <col min="14" max="14" width="7.33203125" customWidth="1"/>
    <col min="15" max="15" width="7.33203125" style="92" customWidth="1"/>
    <col min="16" max="18" width="11.109375" customWidth="1"/>
    <col min="19" max="19" width="8.44140625" style="91" customWidth="1"/>
    <col min="20" max="21" width="8.44140625" customWidth="1"/>
    <col min="22" max="22" width="5.6640625" style="92" customWidth="1"/>
    <col min="23" max="23" width="7.109375" customWidth="1"/>
    <col min="24" max="24" width="11.44140625" customWidth="1"/>
    <col min="25" max="25" width="10" customWidth="1"/>
    <col min="26" max="26" width="8.44140625" customWidth="1"/>
    <col min="27" max="27" width="8.6640625" customWidth="1"/>
    <col min="28" max="28" width="28.44140625" style="264" customWidth="1"/>
  </cols>
  <sheetData>
    <row r="1" spans="1:29" s="15" customFormat="1" ht="16.5" customHeight="1" thickBot="1" x14ac:dyDescent="0.35">
      <c r="A1" s="43" t="s">
        <v>0</v>
      </c>
      <c r="B1" s="406" t="s">
        <v>2</v>
      </c>
      <c r="C1" s="407"/>
      <c r="D1" s="407"/>
      <c r="E1" s="407"/>
      <c r="F1" s="407"/>
      <c r="G1" s="407"/>
      <c r="H1" s="407"/>
      <c r="I1" s="408"/>
      <c r="J1" s="421" t="s">
        <v>5</v>
      </c>
      <c r="K1" s="422"/>
      <c r="L1" s="423"/>
      <c r="M1" s="415" t="s">
        <v>35</v>
      </c>
      <c r="N1" s="416"/>
      <c r="O1" s="417"/>
      <c r="P1" s="418" t="s">
        <v>7</v>
      </c>
      <c r="Q1" s="419"/>
      <c r="R1" s="420"/>
      <c r="S1" s="412" t="s">
        <v>10</v>
      </c>
      <c r="T1" s="413"/>
      <c r="U1" s="413"/>
      <c r="V1" s="414"/>
      <c r="W1" s="409" t="s">
        <v>14</v>
      </c>
      <c r="X1" s="410"/>
      <c r="Y1" s="410"/>
      <c r="Z1" s="410"/>
      <c r="AA1" s="411"/>
      <c r="AB1" s="339" t="s">
        <v>19</v>
      </c>
      <c r="AC1" s="400"/>
    </row>
    <row r="2" spans="1:29" s="15" customFormat="1" ht="28.8" x14ac:dyDescent="0.3">
      <c r="A2" s="369"/>
      <c r="B2" s="167" t="s">
        <v>93</v>
      </c>
      <c r="C2" s="168" t="s">
        <v>92</v>
      </c>
      <c r="D2" s="168" t="s">
        <v>91</v>
      </c>
      <c r="E2" s="168" t="s">
        <v>3</v>
      </c>
      <c r="F2" s="168" t="s">
        <v>4</v>
      </c>
      <c r="G2" s="168" t="s">
        <v>198</v>
      </c>
      <c r="H2" s="168" t="s">
        <v>6</v>
      </c>
      <c r="I2" s="169" t="s">
        <v>88</v>
      </c>
      <c r="J2" s="365" t="s">
        <v>20</v>
      </c>
      <c r="K2" s="168" t="s">
        <v>21</v>
      </c>
      <c r="L2" s="374" t="s">
        <v>211</v>
      </c>
      <c r="M2" s="167" t="s">
        <v>40</v>
      </c>
      <c r="N2" s="168" t="s">
        <v>39</v>
      </c>
      <c r="O2" s="169" t="s">
        <v>212</v>
      </c>
      <c r="P2" s="365" t="s">
        <v>8</v>
      </c>
      <c r="Q2" s="168" t="s">
        <v>9</v>
      </c>
      <c r="R2" s="374" t="s">
        <v>84</v>
      </c>
      <c r="S2" s="170" t="s">
        <v>11</v>
      </c>
      <c r="T2" s="171" t="s">
        <v>44</v>
      </c>
      <c r="U2" s="172" t="s">
        <v>41</v>
      </c>
      <c r="V2" s="173" t="s">
        <v>13</v>
      </c>
      <c r="W2" s="171" t="s">
        <v>15</v>
      </c>
      <c r="X2" s="172" t="s">
        <v>209</v>
      </c>
      <c r="Y2" s="172" t="s">
        <v>17</v>
      </c>
      <c r="Z2" s="172" t="s">
        <v>89</v>
      </c>
      <c r="AA2" s="392" t="s">
        <v>18</v>
      </c>
      <c r="AB2" s="258"/>
      <c r="AC2" s="400"/>
    </row>
    <row r="3" spans="1:29" s="33" customFormat="1" x14ac:dyDescent="0.3">
      <c r="A3" s="370">
        <v>45658</v>
      </c>
      <c r="B3" s="57">
        <v>-1.6</v>
      </c>
      <c r="C3" s="29">
        <v>-1</v>
      </c>
      <c r="D3" s="29">
        <v>-2.4</v>
      </c>
      <c r="E3" s="29">
        <v>-0.1</v>
      </c>
      <c r="F3" s="29">
        <v>-2.5</v>
      </c>
      <c r="G3" s="29">
        <f t="shared" ref="G3:G33" si="0">E3-F3</f>
        <v>2.4</v>
      </c>
      <c r="H3" s="29">
        <f>(B3+C3+2*D3)/4</f>
        <v>-1.85</v>
      </c>
      <c r="I3" s="65">
        <v>-1.7346808510638454</v>
      </c>
      <c r="J3" s="366">
        <v>-0.8</v>
      </c>
      <c r="K3" s="29">
        <v>-2.5</v>
      </c>
      <c r="L3" s="58">
        <v>-1.7427659574468248</v>
      </c>
      <c r="M3" s="90">
        <v>100</v>
      </c>
      <c r="N3" s="30">
        <v>95.1</v>
      </c>
      <c r="O3" s="87">
        <v>99.939361702127655</v>
      </c>
      <c r="P3" s="376">
        <v>1030.4359427843499</v>
      </c>
      <c r="Q3" s="31">
        <v>1022.3402382711801</v>
      </c>
      <c r="R3" s="382">
        <v>1026.6178764745709</v>
      </c>
      <c r="S3" s="89">
        <v>10.20000000816</v>
      </c>
      <c r="T3" s="32">
        <v>6.7800000054239984</v>
      </c>
      <c r="U3" s="32">
        <v>3.796815455921827</v>
      </c>
      <c r="V3" s="174" t="s">
        <v>239</v>
      </c>
      <c r="W3" s="390" t="s">
        <v>213</v>
      </c>
      <c r="X3" s="84">
        <v>0</v>
      </c>
      <c r="Y3" s="85">
        <v>0</v>
      </c>
      <c r="Z3" s="86">
        <v>0</v>
      </c>
      <c r="AA3" s="393">
        <v>0</v>
      </c>
      <c r="AB3" s="259" t="s">
        <v>214</v>
      </c>
      <c r="AC3" s="401"/>
    </row>
    <row r="4" spans="1:29" s="20" customFormat="1" x14ac:dyDescent="0.3">
      <c r="A4" s="370">
        <v>45659</v>
      </c>
      <c r="B4" s="37">
        <v>-2.9</v>
      </c>
      <c r="C4" s="14">
        <v>-1.8</v>
      </c>
      <c r="D4" s="14">
        <v>-1.3</v>
      </c>
      <c r="E4" s="14">
        <v>-1.3</v>
      </c>
      <c r="F4" s="14">
        <v>-3</v>
      </c>
      <c r="G4" s="29">
        <f t="shared" si="0"/>
        <v>1.7</v>
      </c>
      <c r="H4" s="29">
        <f t="shared" ref="H4:H31" si="1">(B4+C4+2*D4)/4</f>
        <v>-1.8250000000000002</v>
      </c>
      <c r="I4" s="60">
        <v>-2.1144444444444406</v>
      </c>
      <c r="J4" s="165">
        <v>-1.3</v>
      </c>
      <c r="K4" s="14">
        <v>-3</v>
      </c>
      <c r="L4" s="50">
        <v>-2.1190972222222171</v>
      </c>
      <c r="M4" s="66">
        <v>100</v>
      </c>
      <c r="N4" s="24">
        <v>99.3</v>
      </c>
      <c r="O4" s="62">
        <v>99.951180555555197</v>
      </c>
      <c r="P4" s="377">
        <v>1022.64761657493</v>
      </c>
      <c r="Q4" s="21">
        <v>1009.68183469567</v>
      </c>
      <c r="R4" s="383">
        <v>1013.8329971820492</v>
      </c>
      <c r="S4" s="54">
        <v>8.5000000068000006</v>
      </c>
      <c r="T4" s="47">
        <v>6.2550000050040007</v>
      </c>
      <c r="U4" s="25">
        <v>2.6597184399116061</v>
      </c>
      <c r="V4" s="175" t="s">
        <v>239</v>
      </c>
      <c r="W4" s="196" t="s">
        <v>213</v>
      </c>
      <c r="X4" s="16">
        <v>0</v>
      </c>
      <c r="Y4" s="17">
        <v>0</v>
      </c>
      <c r="Z4" s="18">
        <v>0</v>
      </c>
      <c r="AA4" s="394">
        <v>0</v>
      </c>
      <c r="AB4" s="260" t="s">
        <v>214</v>
      </c>
      <c r="AC4" s="200"/>
    </row>
    <row r="5" spans="1:29" s="20" customFormat="1" x14ac:dyDescent="0.3">
      <c r="A5" s="370">
        <v>45660</v>
      </c>
      <c r="B5" s="37">
        <v>-3.1</v>
      </c>
      <c r="C5" s="14">
        <v>4.8</v>
      </c>
      <c r="D5" s="14">
        <v>-3.3</v>
      </c>
      <c r="E5" s="14">
        <v>5</v>
      </c>
      <c r="F5" s="14">
        <v>-5.3</v>
      </c>
      <c r="G5" s="29">
        <f t="shared" si="0"/>
        <v>10.3</v>
      </c>
      <c r="H5" s="29">
        <f t="shared" si="1"/>
        <v>-1.2250000000000001</v>
      </c>
      <c r="I5" s="60">
        <v>-1.0587213342599024</v>
      </c>
      <c r="J5" s="165">
        <v>1.2</v>
      </c>
      <c r="K5" s="14">
        <v>-5.6</v>
      </c>
      <c r="L5" s="50">
        <v>-2.0102849200833912</v>
      </c>
      <c r="M5" s="66">
        <v>100</v>
      </c>
      <c r="N5" s="24">
        <v>69.900000000000006</v>
      </c>
      <c r="O5" s="62">
        <v>93.764628214037472</v>
      </c>
      <c r="P5" s="377">
        <v>1012.8537972207801</v>
      </c>
      <c r="Q5" s="21">
        <v>1009.94606521855</v>
      </c>
      <c r="R5" s="383">
        <v>1011.557391402486</v>
      </c>
      <c r="S5" s="54">
        <v>3.4000000027200001</v>
      </c>
      <c r="T5" s="47">
        <v>1.8366666681359998</v>
      </c>
      <c r="U5" s="25">
        <v>0.66104986929524345</v>
      </c>
      <c r="V5" s="175" t="s">
        <v>240</v>
      </c>
      <c r="W5" s="196" t="s">
        <v>216</v>
      </c>
      <c r="X5" s="16">
        <v>6</v>
      </c>
      <c r="Y5" s="17">
        <v>0.5</v>
      </c>
      <c r="Z5" s="18">
        <v>0</v>
      </c>
      <c r="AA5" s="394">
        <v>0</v>
      </c>
      <c r="AB5" s="260" t="s">
        <v>215</v>
      </c>
      <c r="AC5" s="200"/>
    </row>
    <row r="6" spans="1:29" s="20" customFormat="1" x14ac:dyDescent="0.3">
      <c r="A6" s="370">
        <v>45661</v>
      </c>
      <c r="B6" s="37">
        <v>-7.6</v>
      </c>
      <c r="C6" s="14">
        <v>0.9</v>
      </c>
      <c r="D6" s="14">
        <v>-5.6</v>
      </c>
      <c r="E6" s="14">
        <v>2.7</v>
      </c>
      <c r="F6" s="14">
        <v>-8.8000000000000007</v>
      </c>
      <c r="G6" s="29">
        <f t="shared" si="0"/>
        <v>11.5</v>
      </c>
      <c r="H6" s="29">
        <f t="shared" si="1"/>
        <v>-4.4749999999999996</v>
      </c>
      <c r="I6" s="60">
        <v>-3.958124999999991</v>
      </c>
      <c r="J6" s="165">
        <v>-1.2</v>
      </c>
      <c r="K6" s="14">
        <v>-9.1999999999999993</v>
      </c>
      <c r="L6" s="50">
        <v>-5.0818055555555528</v>
      </c>
      <c r="M6" s="66">
        <v>100</v>
      </c>
      <c r="N6" s="24">
        <v>70.400000000000006</v>
      </c>
      <c r="O6" s="62">
        <v>92.391666666666552</v>
      </c>
      <c r="P6" s="377">
        <v>1021.90975979934</v>
      </c>
      <c r="Q6" s="21">
        <v>1012.44706644784</v>
      </c>
      <c r="R6" s="383">
        <v>1018.7717634227369</v>
      </c>
      <c r="S6" s="55">
        <v>6.8000000054400003</v>
      </c>
      <c r="T6" s="48">
        <v>3.540000002832</v>
      </c>
      <c r="U6" s="19">
        <v>0.69924444500383132</v>
      </c>
      <c r="V6" s="175" t="s">
        <v>241</v>
      </c>
      <c r="W6" s="197"/>
      <c r="X6" s="16">
        <v>0</v>
      </c>
      <c r="Y6" s="17">
        <v>0</v>
      </c>
      <c r="Z6" s="18">
        <v>1.5</v>
      </c>
      <c r="AA6" s="394">
        <v>1.5</v>
      </c>
      <c r="AB6" s="260" t="s">
        <v>217</v>
      </c>
      <c r="AC6" s="200"/>
    </row>
    <row r="7" spans="1:29" s="20" customFormat="1" x14ac:dyDescent="0.3">
      <c r="A7" s="370">
        <v>45662</v>
      </c>
      <c r="B7" s="37">
        <v>-6.5</v>
      </c>
      <c r="C7" s="14">
        <v>-1.5</v>
      </c>
      <c r="D7" s="14">
        <v>-1.1000000000000001</v>
      </c>
      <c r="E7" s="14">
        <v>-0.3</v>
      </c>
      <c r="F7" s="14">
        <v>-9.8000000000000007</v>
      </c>
      <c r="G7" s="29">
        <f t="shared" si="0"/>
        <v>9.5</v>
      </c>
      <c r="H7" s="29">
        <f t="shared" si="1"/>
        <v>-2.5499999999999998</v>
      </c>
      <c r="I7" s="60">
        <v>-3.785763888888876</v>
      </c>
      <c r="J7" s="165">
        <v>-0.6</v>
      </c>
      <c r="K7" s="14">
        <v>-10.199999999999999</v>
      </c>
      <c r="L7" s="50">
        <v>-4.2056250000000182</v>
      </c>
      <c r="M7" s="66">
        <v>100</v>
      </c>
      <c r="N7" s="24">
        <v>90.5</v>
      </c>
      <c r="O7" s="62">
        <v>96.938124999999815</v>
      </c>
      <c r="P7" s="377">
        <v>1021.08526539553</v>
      </c>
      <c r="Q7" s="21">
        <v>1009.03720496464</v>
      </c>
      <c r="R7" s="383">
        <v>1014.3329133248591</v>
      </c>
      <c r="S7" s="54">
        <v>11.60000000928</v>
      </c>
      <c r="T7" s="47">
        <v>6.3933333384479996</v>
      </c>
      <c r="U7" s="25">
        <v>3.3154215608166928</v>
      </c>
      <c r="V7" s="175" t="s">
        <v>239</v>
      </c>
      <c r="W7" s="197" t="s">
        <v>221</v>
      </c>
      <c r="X7" s="16">
        <v>24</v>
      </c>
      <c r="Y7" s="17">
        <v>4</v>
      </c>
      <c r="Z7" s="18">
        <v>0</v>
      </c>
      <c r="AA7" s="394">
        <v>0</v>
      </c>
      <c r="AB7" s="260" t="s">
        <v>214</v>
      </c>
      <c r="AC7" s="200"/>
    </row>
    <row r="8" spans="1:29" s="20" customFormat="1" x14ac:dyDescent="0.3">
      <c r="A8" s="370">
        <v>45663</v>
      </c>
      <c r="B8" s="37">
        <v>0.4</v>
      </c>
      <c r="C8" s="14">
        <v>2.9</v>
      </c>
      <c r="D8" s="14">
        <v>6.5</v>
      </c>
      <c r="E8" s="14">
        <v>8.4</v>
      </c>
      <c r="F8" s="14">
        <v>-0.5</v>
      </c>
      <c r="G8" s="29">
        <f t="shared" si="0"/>
        <v>8.9</v>
      </c>
      <c r="H8" s="29">
        <f t="shared" si="1"/>
        <v>4.0750000000000002</v>
      </c>
      <c r="I8" s="60">
        <v>2.8042390548992362</v>
      </c>
      <c r="J8" s="165">
        <v>6.6</v>
      </c>
      <c r="K8" s="14">
        <v>-0.8</v>
      </c>
      <c r="L8" s="50">
        <v>2.359068797776235</v>
      </c>
      <c r="M8" s="66">
        <v>100</v>
      </c>
      <c r="N8" s="24">
        <v>88.2</v>
      </c>
      <c r="O8" s="62">
        <v>96.990826963168999</v>
      </c>
      <c r="P8" s="377">
        <v>1009.3534254316299</v>
      </c>
      <c r="Q8" s="21">
        <v>1004.70144166615</v>
      </c>
      <c r="R8" s="383">
        <v>1006.8243553995349</v>
      </c>
      <c r="S8" s="54">
        <v>13.600000010880001</v>
      </c>
      <c r="T8" s="47">
        <v>7.6466666727839989</v>
      </c>
      <c r="U8" s="25">
        <v>4.8054583067862557</v>
      </c>
      <c r="V8" s="175" t="s">
        <v>239</v>
      </c>
      <c r="W8" s="197"/>
      <c r="X8" s="16">
        <v>0</v>
      </c>
      <c r="Y8" s="17">
        <v>0</v>
      </c>
      <c r="Z8" s="18">
        <v>2</v>
      </c>
      <c r="AA8" s="394">
        <v>2</v>
      </c>
      <c r="AB8" s="260" t="s">
        <v>218</v>
      </c>
      <c r="AC8" s="200"/>
    </row>
    <row r="9" spans="1:29" s="20" customFormat="1" x14ac:dyDescent="0.3">
      <c r="A9" s="370">
        <v>45664</v>
      </c>
      <c r="B9" s="37">
        <v>5.8</v>
      </c>
      <c r="C9" s="14">
        <v>9.1</v>
      </c>
      <c r="D9" s="14">
        <v>7.3</v>
      </c>
      <c r="E9" s="14">
        <v>9.3000000000000007</v>
      </c>
      <c r="F9" s="14">
        <v>3.1</v>
      </c>
      <c r="G9" s="29">
        <f t="shared" si="0"/>
        <v>6.2000000000000011</v>
      </c>
      <c r="H9" s="29">
        <f t="shared" si="1"/>
        <v>7.375</v>
      </c>
      <c r="I9" s="60">
        <v>7.1309027777777692</v>
      </c>
      <c r="J9" s="165">
        <v>7.2</v>
      </c>
      <c r="K9" s="14">
        <v>3.1</v>
      </c>
      <c r="L9" s="50">
        <v>5.8443749999999994</v>
      </c>
      <c r="M9" s="66">
        <v>100</v>
      </c>
      <c r="N9" s="24">
        <v>84.5</v>
      </c>
      <c r="O9" s="62">
        <v>91.635902777777744</v>
      </c>
      <c r="P9" s="377">
        <v>1008.62635507339</v>
      </c>
      <c r="Q9" s="21">
        <v>1004.9512521505</v>
      </c>
      <c r="R9" s="383">
        <v>1006.3776671378888</v>
      </c>
      <c r="S9" s="54">
        <v>11.20000000896</v>
      </c>
      <c r="T9" s="47">
        <v>6.9166666721999999</v>
      </c>
      <c r="U9" s="25">
        <v>2.254366814030563</v>
      </c>
      <c r="V9" s="175" t="s">
        <v>241</v>
      </c>
      <c r="W9" s="197" t="s">
        <v>220</v>
      </c>
      <c r="X9" s="16">
        <v>18</v>
      </c>
      <c r="Y9" s="17">
        <v>5.2</v>
      </c>
      <c r="Z9" s="18">
        <v>0</v>
      </c>
      <c r="AA9" s="394">
        <v>0</v>
      </c>
      <c r="AB9" s="260" t="s">
        <v>219</v>
      </c>
      <c r="AC9" s="200"/>
    </row>
    <row r="10" spans="1:29" s="20" customFormat="1" x14ac:dyDescent="0.3">
      <c r="A10" s="370">
        <v>45665</v>
      </c>
      <c r="B10" s="37">
        <v>0.1</v>
      </c>
      <c r="C10" s="14">
        <v>6.7</v>
      </c>
      <c r="D10" s="14">
        <v>3.2</v>
      </c>
      <c r="E10" s="14">
        <v>6.7</v>
      </c>
      <c r="F10" s="14">
        <v>0</v>
      </c>
      <c r="G10" s="29">
        <f t="shared" si="0"/>
        <v>6.7</v>
      </c>
      <c r="H10" s="29">
        <f t="shared" si="1"/>
        <v>3.3</v>
      </c>
      <c r="I10" s="60">
        <v>3.3749999999999893</v>
      </c>
      <c r="J10" s="165">
        <v>4.5</v>
      </c>
      <c r="K10" s="14">
        <v>0</v>
      </c>
      <c r="L10" s="50">
        <v>2.5587499999999892</v>
      </c>
      <c r="M10" s="66">
        <v>100</v>
      </c>
      <c r="N10" s="24">
        <v>83.7</v>
      </c>
      <c r="O10" s="62">
        <v>94.700694444444281</v>
      </c>
      <c r="P10" s="377">
        <v>1010.80417859259</v>
      </c>
      <c r="Q10" s="21">
        <v>1005.6661509332801</v>
      </c>
      <c r="R10" s="383">
        <v>1008.6255772842813</v>
      </c>
      <c r="S10" s="54">
        <v>10.20000000816</v>
      </c>
      <c r="T10" s="47">
        <v>5.9883333381240007</v>
      </c>
      <c r="U10" s="25">
        <v>1.6376479303041978</v>
      </c>
      <c r="V10" s="175" t="s">
        <v>241</v>
      </c>
      <c r="W10" s="197" t="s">
        <v>222</v>
      </c>
      <c r="X10" s="16">
        <v>0</v>
      </c>
      <c r="Y10" s="17">
        <v>0</v>
      </c>
      <c r="Z10" s="18">
        <v>0</v>
      </c>
      <c r="AA10" s="394">
        <v>0</v>
      </c>
      <c r="AB10" s="260" t="s">
        <v>223</v>
      </c>
      <c r="AC10" s="200"/>
    </row>
    <row r="11" spans="1:29" s="20" customFormat="1" x14ac:dyDescent="0.3">
      <c r="A11" s="370">
        <v>45666</v>
      </c>
      <c r="B11" s="37">
        <v>6.7</v>
      </c>
      <c r="C11" s="14">
        <v>8.1999999999999993</v>
      </c>
      <c r="D11" s="14">
        <v>10</v>
      </c>
      <c r="E11" s="14">
        <v>10.6</v>
      </c>
      <c r="F11" s="14">
        <v>2.2999999999999998</v>
      </c>
      <c r="G11" s="29">
        <f t="shared" si="0"/>
        <v>8.3000000000000007</v>
      </c>
      <c r="H11" s="29">
        <f t="shared" si="1"/>
        <v>8.7249999999999996</v>
      </c>
      <c r="I11" s="60">
        <v>7.6271716469770663</v>
      </c>
      <c r="J11" s="165">
        <v>8.6999999999999993</v>
      </c>
      <c r="K11" s="14">
        <v>2.1</v>
      </c>
      <c r="L11" s="50">
        <v>6.2404447533009417</v>
      </c>
      <c r="M11" s="66">
        <v>100</v>
      </c>
      <c r="N11" s="24">
        <v>86.3</v>
      </c>
      <c r="O11" s="62">
        <v>90.991660875607934</v>
      </c>
      <c r="P11" s="377">
        <v>1009.98488442555</v>
      </c>
      <c r="Q11" s="21">
        <v>1001.87047187773</v>
      </c>
      <c r="R11" s="383">
        <v>1007.1558678400071</v>
      </c>
      <c r="S11" s="54">
        <v>13.600000010880001</v>
      </c>
      <c r="T11" s="47">
        <v>9.0333333405600005</v>
      </c>
      <c r="U11" s="25">
        <v>3.6731689659552109</v>
      </c>
      <c r="V11" s="175" t="s">
        <v>239</v>
      </c>
      <c r="W11" s="197" t="s">
        <v>224</v>
      </c>
      <c r="X11" s="16">
        <v>42</v>
      </c>
      <c r="Y11" s="17">
        <v>3</v>
      </c>
      <c r="Z11" s="18">
        <v>0</v>
      </c>
      <c r="AA11" s="394">
        <v>0</v>
      </c>
      <c r="AB11" s="260" t="s">
        <v>219</v>
      </c>
      <c r="AC11" s="200"/>
    </row>
    <row r="12" spans="1:29" s="20" customFormat="1" x14ac:dyDescent="0.3">
      <c r="A12" s="370">
        <v>45667</v>
      </c>
      <c r="B12" s="37">
        <v>2.7</v>
      </c>
      <c r="C12" s="14">
        <v>1.6</v>
      </c>
      <c r="D12" s="14">
        <v>-0.5</v>
      </c>
      <c r="E12" s="14">
        <v>10.5</v>
      </c>
      <c r="F12" s="14">
        <v>-2.2000000000000002</v>
      </c>
      <c r="G12" s="29">
        <f t="shared" si="0"/>
        <v>12.7</v>
      </c>
      <c r="H12" s="29">
        <f t="shared" si="1"/>
        <v>0.82500000000000018</v>
      </c>
      <c r="I12" s="60">
        <v>2.758333333333332</v>
      </c>
      <c r="J12" s="165">
        <v>8.6999999999999993</v>
      </c>
      <c r="K12" s="14">
        <v>-2.2000000000000002</v>
      </c>
      <c r="L12" s="50">
        <v>2.3677777777777718</v>
      </c>
      <c r="M12" s="66">
        <v>100</v>
      </c>
      <c r="N12" s="24">
        <v>88.5</v>
      </c>
      <c r="O12" s="62">
        <v>97.455486111111185</v>
      </c>
      <c r="P12" s="377">
        <v>1013.7583982615899</v>
      </c>
      <c r="Q12" s="21">
        <v>1000.78554796887</v>
      </c>
      <c r="R12" s="383">
        <v>1008.4381989274278</v>
      </c>
      <c r="S12" s="54">
        <v>10.20000000816</v>
      </c>
      <c r="T12" s="47">
        <v>7.1833333390800007</v>
      </c>
      <c r="U12" s="25">
        <v>1.5741153192498942</v>
      </c>
      <c r="V12" s="175" t="s">
        <v>241</v>
      </c>
      <c r="W12" s="197" t="s">
        <v>224</v>
      </c>
      <c r="X12" s="16">
        <v>6</v>
      </c>
      <c r="Y12" s="17">
        <v>3</v>
      </c>
      <c r="Z12" s="18">
        <v>0</v>
      </c>
      <c r="AA12" s="394">
        <v>0</v>
      </c>
      <c r="AB12" s="260" t="s">
        <v>219</v>
      </c>
      <c r="AC12" s="200"/>
    </row>
    <row r="13" spans="1:29" s="20" customFormat="1" x14ac:dyDescent="0.3">
      <c r="A13" s="370">
        <v>45668</v>
      </c>
      <c r="B13" s="37">
        <v>-1.5</v>
      </c>
      <c r="C13" s="14">
        <v>-0.1</v>
      </c>
      <c r="D13" s="14">
        <v>-1.5</v>
      </c>
      <c r="E13" s="14">
        <v>0.5</v>
      </c>
      <c r="F13" s="14">
        <v>-3.4</v>
      </c>
      <c r="G13" s="29">
        <f t="shared" si="0"/>
        <v>3.9</v>
      </c>
      <c r="H13" s="29">
        <f t="shared" si="1"/>
        <v>-1.1499999999999999</v>
      </c>
      <c r="I13" s="60">
        <v>-1.39200833912439</v>
      </c>
      <c r="J13" s="165">
        <v>-0.3</v>
      </c>
      <c r="K13" s="14">
        <v>-3.6</v>
      </c>
      <c r="L13" s="50">
        <v>-1.596386379430164</v>
      </c>
      <c r="M13" s="66">
        <v>100</v>
      </c>
      <c r="N13" s="24">
        <v>92.6</v>
      </c>
      <c r="O13" s="62">
        <v>98.528422515635853</v>
      </c>
      <c r="P13" s="377">
        <v>1014.71039435825</v>
      </c>
      <c r="Q13" s="21">
        <v>1012.40485052645</v>
      </c>
      <c r="R13" s="383">
        <v>1013.3827373651164</v>
      </c>
      <c r="S13" s="54">
        <v>6.5000000052000004</v>
      </c>
      <c r="T13" s="47">
        <v>4.1033333366160001</v>
      </c>
      <c r="U13" s="25">
        <v>1.4688718335337805</v>
      </c>
      <c r="V13" s="175" t="s">
        <v>241</v>
      </c>
      <c r="W13" s="197" t="s">
        <v>213</v>
      </c>
      <c r="X13" s="16">
        <v>0</v>
      </c>
      <c r="Y13" s="17">
        <v>0</v>
      </c>
      <c r="Z13" s="18">
        <v>0</v>
      </c>
      <c r="AA13" s="394">
        <v>0</v>
      </c>
      <c r="AB13" s="260" t="s">
        <v>225</v>
      </c>
      <c r="AC13" s="200"/>
    </row>
    <row r="14" spans="1:29" s="20" customFormat="1" x14ac:dyDescent="0.3">
      <c r="A14" s="370">
        <v>45669</v>
      </c>
      <c r="B14" s="37">
        <v>-0.6</v>
      </c>
      <c r="C14" s="14">
        <v>2.6</v>
      </c>
      <c r="D14" s="14">
        <v>0.5</v>
      </c>
      <c r="E14" s="14">
        <v>2.6</v>
      </c>
      <c r="F14" s="14">
        <v>-3.3</v>
      </c>
      <c r="G14" s="29">
        <f t="shared" si="0"/>
        <v>5.9</v>
      </c>
      <c r="H14" s="29">
        <f t="shared" si="1"/>
        <v>0.75</v>
      </c>
      <c r="I14" s="60">
        <v>0.23312499999999817</v>
      </c>
      <c r="J14" s="165">
        <v>0.8</v>
      </c>
      <c r="K14" s="14">
        <v>-3.3</v>
      </c>
      <c r="L14" s="50">
        <v>-0.83993055555556173</v>
      </c>
      <c r="M14" s="66">
        <v>100</v>
      </c>
      <c r="N14" s="24">
        <v>86.2</v>
      </c>
      <c r="O14" s="62">
        <v>92.535000000000224</v>
      </c>
      <c r="P14" s="377">
        <v>1027.93163420525</v>
      </c>
      <c r="Q14" s="21">
        <v>1013.98402687661</v>
      </c>
      <c r="R14" s="383">
        <v>1019.9025314113912</v>
      </c>
      <c r="S14" s="54">
        <v>5.4000000043199998</v>
      </c>
      <c r="T14" s="47">
        <v>3.1566666691919996</v>
      </c>
      <c r="U14" s="25">
        <v>1.0625818190318801</v>
      </c>
      <c r="V14" s="175" t="s">
        <v>240</v>
      </c>
      <c r="W14" s="197" t="s">
        <v>216</v>
      </c>
      <c r="X14" s="16">
        <v>6</v>
      </c>
      <c r="Y14" s="17">
        <v>1.1000000000000001</v>
      </c>
      <c r="Z14" s="18">
        <v>0</v>
      </c>
      <c r="AA14" s="394">
        <v>0</v>
      </c>
      <c r="AB14" s="260" t="s">
        <v>226</v>
      </c>
      <c r="AC14" s="200"/>
    </row>
    <row r="15" spans="1:29" s="177" customFormat="1" x14ac:dyDescent="0.3">
      <c r="A15" s="370">
        <v>45670</v>
      </c>
      <c r="B15" s="270">
        <v>-0.1</v>
      </c>
      <c r="C15" s="271">
        <v>0.9</v>
      </c>
      <c r="D15" s="271">
        <v>-0.9</v>
      </c>
      <c r="E15" s="271">
        <v>1.3</v>
      </c>
      <c r="F15" s="271">
        <v>-1.4</v>
      </c>
      <c r="G15" s="29">
        <f t="shared" si="0"/>
        <v>2.7</v>
      </c>
      <c r="H15" s="29">
        <f t="shared" si="1"/>
        <v>-0.25</v>
      </c>
      <c r="I15" s="272">
        <v>-2.0847810979856278E-3</v>
      </c>
      <c r="J15" s="367">
        <v>-0.3</v>
      </c>
      <c r="K15" s="271">
        <v>-3.4</v>
      </c>
      <c r="L15" s="375">
        <v>-1.6847810979847224</v>
      </c>
      <c r="M15" s="273">
        <v>97.5</v>
      </c>
      <c r="N15" s="274">
        <v>79.2</v>
      </c>
      <c r="O15" s="275">
        <v>88.543015983321808</v>
      </c>
      <c r="P15" s="378">
        <v>1039.4436718524701</v>
      </c>
      <c r="Q15" s="276">
        <v>1027.88041943597</v>
      </c>
      <c r="R15" s="384">
        <v>1033.0139848825991</v>
      </c>
      <c r="S15" s="277">
        <v>6.10000000488</v>
      </c>
      <c r="T15" s="278">
        <v>3.2033333358960001</v>
      </c>
      <c r="U15" s="279">
        <v>1.4573762850127736</v>
      </c>
      <c r="V15" s="280" t="s">
        <v>241</v>
      </c>
      <c r="W15" s="198"/>
      <c r="X15" s="281">
        <v>0</v>
      </c>
      <c r="Y15" s="282">
        <v>0</v>
      </c>
      <c r="Z15" s="283">
        <v>2</v>
      </c>
      <c r="AA15" s="395">
        <v>2</v>
      </c>
      <c r="AB15" s="269" t="s">
        <v>227</v>
      </c>
      <c r="AC15" s="198"/>
    </row>
    <row r="16" spans="1:29" s="20" customFormat="1" x14ac:dyDescent="0.3">
      <c r="A16" s="370">
        <v>45671</v>
      </c>
      <c r="B16" s="37">
        <v>-6.5</v>
      </c>
      <c r="C16" s="14">
        <v>-0.2</v>
      </c>
      <c r="D16" s="14">
        <v>-2.2000000000000002</v>
      </c>
      <c r="E16" s="14">
        <v>0</v>
      </c>
      <c r="F16" s="14">
        <v>-7</v>
      </c>
      <c r="G16" s="29">
        <f t="shared" si="0"/>
        <v>7</v>
      </c>
      <c r="H16" s="29">
        <f t="shared" si="1"/>
        <v>-2.7750000000000004</v>
      </c>
      <c r="I16" s="60">
        <v>-2.5001388888888716</v>
      </c>
      <c r="J16" s="165">
        <v>-1.7</v>
      </c>
      <c r="K16" s="14">
        <v>-7.6</v>
      </c>
      <c r="L16" s="50">
        <v>-3.6313888888888637</v>
      </c>
      <c r="M16" s="66">
        <v>99.3</v>
      </c>
      <c r="N16" s="24">
        <v>85.5</v>
      </c>
      <c r="O16" s="62">
        <v>91.996180555555213</v>
      </c>
      <c r="P16" s="377">
        <v>1033.79136960659</v>
      </c>
      <c r="Q16" s="21">
        <v>1027.6242723487201</v>
      </c>
      <c r="R16" s="383">
        <v>1030.9586188724993</v>
      </c>
      <c r="S16" s="54">
        <v>3.70000000296</v>
      </c>
      <c r="T16" s="47">
        <v>2.7000000021599999</v>
      </c>
      <c r="U16" s="25">
        <v>0.76744186107907375</v>
      </c>
      <c r="V16" s="175" t="s">
        <v>241</v>
      </c>
      <c r="W16" s="198" t="s">
        <v>216</v>
      </c>
      <c r="X16" s="26">
        <v>6</v>
      </c>
      <c r="Y16" s="27">
        <v>3</v>
      </c>
      <c r="Z16" s="28">
        <v>0</v>
      </c>
      <c r="AA16" s="396">
        <v>0</v>
      </c>
      <c r="AB16" s="261" t="s">
        <v>228</v>
      </c>
      <c r="AC16" s="200"/>
    </row>
    <row r="17" spans="1:29" s="20" customFormat="1" x14ac:dyDescent="0.3">
      <c r="A17" s="370">
        <v>45672</v>
      </c>
      <c r="B17" s="37">
        <v>-2.2000000000000002</v>
      </c>
      <c r="C17" s="14">
        <v>-1.5</v>
      </c>
      <c r="D17" s="14">
        <v>-1.9</v>
      </c>
      <c r="E17" s="14">
        <v>-0.9</v>
      </c>
      <c r="F17" s="14">
        <v>-2.2000000000000002</v>
      </c>
      <c r="G17" s="29">
        <f t="shared" si="0"/>
        <v>1.3000000000000003</v>
      </c>
      <c r="H17" s="29">
        <f t="shared" si="1"/>
        <v>-1.875</v>
      </c>
      <c r="I17" s="60">
        <v>-1.6620138888889053</v>
      </c>
      <c r="J17" s="165">
        <v>-1.6</v>
      </c>
      <c r="K17" s="14">
        <v>-2.8</v>
      </c>
      <c r="L17" s="50">
        <v>-2.1284722222222574</v>
      </c>
      <c r="M17" s="66">
        <v>100</v>
      </c>
      <c r="N17" s="24">
        <v>89</v>
      </c>
      <c r="O17" s="62">
        <v>96.632569444443931</v>
      </c>
      <c r="P17" s="377">
        <v>1031.7983590531801</v>
      </c>
      <c r="Q17" s="21">
        <v>1023.63561502174</v>
      </c>
      <c r="R17" s="383">
        <v>1026.8174832127636</v>
      </c>
      <c r="S17" s="54">
        <v>5.4000000043199998</v>
      </c>
      <c r="T17" s="47">
        <v>2.4933333353279998</v>
      </c>
      <c r="U17" s="25">
        <v>0.57033795328875003</v>
      </c>
      <c r="V17" s="175" t="s">
        <v>240</v>
      </c>
      <c r="W17" s="198" t="s">
        <v>216</v>
      </c>
      <c r="X17" s="26">
        <v>6</v>
      </c>
      <c r="Y17" s="27">
        <v>1</v>
      </c>
      <c r="Z17" s="28">
        <v>2.2000000000000002</v>
      </c>
      <c r="AA17" s="396">
        <v>2.2000000000000002</v>
      </c>
      <c r="AB17" s="261" t="s">
        <v>227</v>
      </c>
      <c r="AC17" s="200"/>
    </row>
    <row r="18" spans="1:29" s="20" customFormat="1" x14ac:dyDescent="0.3">
      <c r="A18" s="370">
        <v>45673</v>
      </c>
      <c r="B18" s="37">
        <v>-1.8</v>
      </c>
      <c r="C18" s="14">
        <v>1.1000000000000001</v>
      </c>
      <c r="D18" s="14">
        <v>-0.2</v>
      </c>
      <c r="E18" s="14">
        <v>1.4</v>
      </c>
      <c r="F18" s="14">
        <v>-2.2000000000000002</v>
      </c>
      <c r="G18" s="29">
        <f t="shared" si="0"/>
        <v>3.6</v>
      </c>
      <c r="H18" s="29">
        <f t="shared" si="1"/>
        <v>-0.27500000000000002</v>
      </c>
      <c r="I18" s="60">
        <v>-0.55038220986795483</v>
      </c>
      <c r="J18" s="165">
        <v>1.3</v>
      </c>
      <c r="K18" s="14">
        <v>-2.2000000000000002</v>
      </c>
      <c r="L18" s="50">
        <v>-0.60820013898539615</v>
      </c>
      <c r="M18" s="66">
        <v>100</v>
      </c>
      <c r="N18" s="24">
        <v>98.5</v>
      </c>
      <c r="O18" s="62">
        <v>99.61924947880415</v>
      </c>
      <c r="P18" s="377">
        <v>1039.8717429031501</v>
      </c>
      <c r="Q18" s="21">
        <v>1031.5155071133099</v>
      </c>
      <c r="R18" s="383">
        <v>1036.3490653875317</v>
      </c>
      <c r="S18" s="54">
        <v>3.70000000296</v>
      </c>
      <c r="T18" s="47">
        <v>2.5266666686880006</v>
      </c>
      <c r="U18" s="25">
        <v>0.57243902484819642</v>
      </c>
      <c r="V18" s="175" t="s">
        <v>240</v>
      </c>
      <c r="W18" s="198" t="s">
        <v>213</v>
      </c>
      <c r="X18" s="26">
        <v>0</v>
      </c>
      <c r="Y18" s="27">
        <v>0</v>
      </c>
      <c r="Z18" s="28">
        <v>0.5</v>
      </c>
      <c r="AA18" s="396">
        <v>2.5</v>
      </c>
      <c r="AB18" s="261" t="s">
        <v>229</v>
      </c>
      <c r="AC18" s="200"/>
    </row>
    <row r="19" spans="1:29" s="20" customFormat="1" x14ac:dyDescent="0.3">
      <c r="A19" s="370">
        <v>45674</v>
      </c>
      <c r="B19" s="37">
        <v>-0.6</v>
      </c>
      <c r="C19" s="14">
        <v>-0.2</v>
      </c>
      <c r="D19" s="14">
        <v>-0.6</v>
      </c>
      <c r="E19" s="14">
        <v>-0.1</v>
      </c>
      <c r="F19" s="14">
        <v>-0.7</v>
      </c>
      <c r="G19" s="29">
        <f t="shared" si="0"/>
        <v>0.6</v>
      </c>
      <c r="H19" s="29">
        <f t="shared" si="1"/>
        <v>-0.5</v>
      </c>
      <c r="I19" s="60">
        <v>-0.45958333333333712</v>
      </c>
      <c r="J19" s="165">
        <v>-0.1</v>
      </c>
      <c r="K19" s="14">
        <v>-0.7</v>
      </c>
      <c r="L19" s="50">
        <v>-0.45958333333333712</v>
      </c>
      <c r="M19" s="66">
        <v>100</v>
      </c>
      <c r="N19" s="24">
        <v>100</v>
      </c>
      <c r="O19" s="62">
        <v>100</v>
      </c>
      <c r="P19" s="377">
        <v>1040.7937058315499</v>
      </c>
      <c r="Q19" s="21">
        <v>1038.0461286121899</v>
      </c>
      <c r="R19" s="383">
        <v>1039.2722011558192</v>
      </c>
      <c r="S19" s="54">
        <v>5.10000000408</v>
      </c>
      <c r="T19" s="47">
        <v>3.6200000028960004</v>
      </c>
      <c r="U19" s="25">
        <v>1.4289550084000611</v>
      </c>
      <c r="V19" s="175" t="s">
        <v>239</v>
      </c>
      <c r="W19" s="198"/>
      <c r="X19" s="26">
        <v>0</v>
      </c>
      <c r="Y19" s="27">
        <v>0</v>
      </c>
      <c r="Z19" s="28">
        <v>0</v>
      </c>
      <c r="AA19" s="396">
        <v>1</v>
      </c>
      <c r="AB19" s="261" t="s">
        <v>230</v>
      </c>
      <c r="AC19" s="200"/>
    </row>
    <row r="20" spans="1:29" s="20" customFormat="1" x14ac:dyDescent="0.3">
      <c r="A20" s="370">
        <v>45675</v>
      </c>
      <c r="B20" s="37">
        <v>-0.7</v>
      </c>
      <c r="C20" s="14">
        <v>-0.3</v>
      </c>
      <c r="D20" s="14">
        <v>-0.8</v>
      </c>
      <c r="E20" s="14">
        <v>-0.2</v>
      </c>
      <c r="F20" s="14">
        <v>-1.1000000000000001</v>
      </c>
      <c r="G20" s="29">
        <f t="shared" si="0"/>
        <v>0.90000000000000013</v>
      </c>
      <c r="H20" s="29">
        <f t="shared" si="1"/>
        <v>-0.65</v>
      </c>
      <c r="I20" s="60">
        <v>-0.55503822098679456</v>
      </c>
      <c r="J20" s="165">
        <v>-0.2</v>
      </c>
      <c r="K20" s="14">
        <v>-1.1000000000000001</v>
      </c>
      <c r="L20" s="50">
        <v>-0.57220291869353579</v>
      </c>
      <c r="M20" s="66">
        <v>100</v>
      </c>
      <c r="N20" s="24">
        <v>99.1</v>
      </c>
      <c r="O20" s="62">
        <v>99.886031966643742</v>
      </c>
      <c r="P20" s="377">
        <v>1038.14857074469</v>
      </c>
      <c r="Q20" s="21">
        <v>1032.96054548246</v>
      </c>
      <c r="R20" s="383">
        <v>1035.3640193670242</v>
      </c>
      <c r="S20" s="54">
        <v>4.4000000035199998</v>
      </c>
      <c r="T20" s="47">
        <v>2.0433333349679996</v>
      </c>
      <c r="U20" s="25">
        <v>0.97587878865949051</v>
      </c>
      <c r="V20" s="175" t="s">
        <v>239</v>
      </c>
      <c r="W20" s="198"/>
      <c r="X20" s="26">
        <v>0</v>
      </c>
      <c r="Y20" s="27">
        <v>0</v>
      </c>
      <c r="Z20" s="28">
        <v>0</v>
      </c>
      <c r="AA20" s="396">
        <v>0</v>
      </c>
      <c r="AB20" s="261" t="s">
        <v>232</v>
      </c>
      <c r="AC20" s="200"/>
    </row>
    <row r="21" spans="1:29" s="20" customFormat="1" x14ac:dyDescent="0.3">
      <c r="A21" s="370">
        <v>45676</v>
      </c>
      <c r="B21" s="37">
        <v>-1.4</v>
      </c>
      <c r="C21" s="14">
        <v>-1.1000000000000001</v>
      </c>
      <c r="D21" s="14">
        <v>-1.8</v>
      </c>
      <c r="E21" s="14">
        <v>-0.9</v>
      </c>
      <c r="F21" s="14">
        <v>-2.2000000000000002</v>
      </c>
      <c r="G21" s="29">
        <f t="shared" si="0"/>
        <v>1.3000000000000003</v>
      </c>
      <c r="H21" s="29">
        <f t="shared" si="1"/>
        <v>-1.5249999999999999</v>
      </c>
      <c r="I21" s="60">
        <v>-1.4271527777777695</v>
      </c>
      <c r="J21" s="165">
        <v>-0.9</v>
      </c>
      <c r="K21" s="14">
        <v>-2.2000000000000002</v>
      </c>
      <c r="L21" s="50">
        <v>-1.4271527777777695</v>
      </c>
      <c r="M21" s="66">
        <v>100</v>
      </c>
      <c r="N21" s="24">
        <v>100</v>
      </c>
      <c r="O21" s="62">
        <v>100</v>
      </c>
      <c r="P21" s="377">
        <v>1033.30203133174</v>
      </c>
      <c r="Q21" s="21">
        <v>1029.5505153870699</v>
      </c>
      <c r="R21" s="383">
        <v>1030.851448189256</v>
      </c>
      <c r="S21" s="54">
        <v>3.4000000027200001</v>
      </c>
      <c r="T21" s="47">
        <v>2.0600000016479996</v>
      </c>
      <c r="U21" s="25">
        <v>0.98380606139309812</v>
      </c>
      <c r="V21" s="175" t="s">
        <v>240</v>
      </c>
      <c r="W21" s="198"/>
      <c r="X21" s="26">
        <v>0</v>
      </c>
      <c r="Y21" s="27">
        <v>0</v>
      </c>
      <c r="Z21" s="28">
        <v>0</v>
      </c>
      <c r="AA21" s="396">
        <v>0</v>
      </c>
      <c r="AB21" s="261" t="s">
        <v>232</v>
      </c>
      <c r="AC21" s="200"/>
    </row>
    <row r="22" spans="1:29" s="20" customFormat="1" x14ac:dyDescent="0.3">
      <c r="A22" s="370">
        <v>45677</v>
      </c>
      <c r="B22" s="37">
        <v>-2.7</v>
      </c>
      <c r="C22" s="14">
        <v>-2.1</v>
      </c>
      <c r="D22" s="14">
        <v>-2.2000000000000002</v>
      </c>
      <c r="E22" s="14">
        <v>-2</v>
      </c>
      <c r="F22" s="14">
        <v>-2.8</v>
      </c>
      <c r="G22" s="29">
        <f t="shared" si="0"/>
        <v>0.79999999999999982</v>
      </c>
      <c r="H22" s="29">
        <f t="shared" si="1"/>
        <v>-2.3000000000000003</v>
      </c>
      <c r="I22" s="60">
        <v>-2.3334027777777129</v>
      </c>
      <c r="J22" s="165">
        <v>-2</v>
      </c>
      <c r="K22" s="14">
        <v>-2.8</v>
      </c>
      <c r="L22" s="50">
        <v>-2.3334027777777129</v>
      </c>
      <c r="M22" s="66">
        <v>100</v>
      </c>
      <c r="N22" s="24">
        <v>100</v>
      </c>
      <c r="O22" s="62">
        <v>100</v>
      </c>
      <c r="P22" s="377">
        <v>1030.0903286386299</v>
      </c>
      <c r="Q22" s="21">
        <v>1024.5668639514199</v>
      </c>
      <c r="R22" s="383">
        <v>1027.9050400493275</v>
      </c>
      <c r="S22" s="54">
        <v>4.8000000038400001</v>
      </c>
      <c r="T22" s="47">
        <v>3.2033333358960001</v>
      </c>
      <c r="U22" s="25">
        <v>1.5528240417925823</v>
      </c>
      <c r="V22" s="175" t="s">
        <v>240</v>
      </c>
      <c r="W22" s="198"/>
      <c r="X22" s="26">
        <v>0</v>
      </c>
      <c r="Y22" s="27">
        <v>0</v>
      </c>
      <c r="Z22" s="28">
        <v>0</v>
      </c>
      <c r="AA22" s="396">
        <v>0</v>
      </c>
      <c r="AB22" s="261" t="s">
        <v>231</v>
      </c>
      <c r="AC22" s="200"/>
    </row>
    <row r="23" spans="1:29" s="20" customFormat="1" x14ac:dyDescent="0.3">
      <c r="A23" s="370">
        <v>45678</v>
      </c>
      <c r="B23" s="37">
        <v>-2.5</v>
      </c>
      <c r="C23" s="14">
        <v>0.5</v>
      </c>
      <c r="D23" s="14">
        <v>0</v>
      </c>
      <c r="E23" s="14">
        <v>0.8</v>
      </c>
      <c r="F23" s="14">
        <v>-2.6</v>
      </c>
      <c r="G23" s="29">
        <f t="shared" si="0"/>
        <v>3.4000000000000004</v>
      </c>
      <c r="H23" s="29">
        <f t="shared" si="1"/>
        <v>-0.5</v>
      </c>
      <c r="I23" s="60">
        <v>-1.0140375260597612</v>
      </c>
      <c r="J23" s="165">
        <v>0.4</v>
      </c>
      <c r="K23" s="14">
        <v>-2.6</v>
      </c>
      <c r="L23" s="50">
        <v>-1.0746351633078524</v>
      </c>
      <c r="M23" s="66">
        <v>100</v>
      </c>
      <c r="N23" s="24">
        <v>96.7</v>
      </c>
      <c r="O23" s="62">
        <v>99.557470465601085</v>
      </c>
      <c r="P23" s="377">
        <v>1024.66932063782</v>
      </c>
      <c r="Q23" s="21">
        <v>1017.09418438603</v>
      </c>
      <c r="R23" s="383">
        <v>1019.6627069672626</v>
      </c>
      <c r="S23" s="54">
        <v>2.4000000019200001</v>
      </c>
      <c r="T23" s="47">
        <v>1.240000000992</v>
      </c>
      <c r="U23" s="25">
        <v>0.39154252048704236</v>
      </c>
      <c r="V23" s="175" t="s">
        <v>240</v>
      </c>
      <c r="W23" s="198" t="s">
        <v>224</v>
      </c>
      <c r="X23" s="26">
        <v>6</v>
      </c>
      <c r="Y23" s="27">
        <v>3</v>
      </c>
      <c r="Z23" s="28">
        <v>0</v>
      </c>
      <c r="AA23" s="396">
        <v>0</v>
      </c>
      <c r="AB23" s="261" t="s">
        <v>232</v>
      </c>
      <c r="AC23" s="200"/>
    </row>
    <row r="24" spans="1:29" s="20" customFormat="1" x14ac:dyDescent="0.3">
      <c r="A24" s="370">
        <v>45679</v>
      </c>
      <c r="B24" s="37">
        <v>-0.6</v>
      </c>
      <c r="C24" s="14">
        <v>0</v>
      </c>
      <c r="D24" s="14">
        <v>0.2</v>
      </c>
      <c r="E24" s="14">
        <v>0.2</v>
      </c>
      <c r="F24" s="14">
        <v>-0.6</v>
      </c>
      <c r="G24" s="29">
        <f t="shared" si="0"/>
        <v>0.8</v>
      </c>
      <c r="H24" s="29">
        <f t="shared" si="1"/>
        <v>-4.9999999999999989E-2</v>
      </c>
      <c r="I24" s="60">
        <v>-0.18354166666666363</v>
      </c>
      <c r="J24" s="165">
        <v>0.2</v>
      </c>
      <c r="K24" s="14">
        <v>-0.6</v>
      </c>
      <c r="L24" s="50">
        <v>-0.18715277777777481</v>
      </c>
      <c r="M24" s="66">
        <v>100</v>
      </c>
      <c r="N24" s="24">
        <v>99.3</v>
      </c>
      <c r="O24" s="62">
        <v>99.975694444444343</v>
      </c>
      <c r="P24" s="377">
        <v>1018.02506460977</v>
      </c>
      <c r="Q24" s="21">
        <v>1016.0178267246</v>
      </c>
      <c r="R24" s="383">
        <v>1017.1803453924832</v>
      </c>
      <c r="S24" s="54"/>
      <c r="T24" s="47"/>
      <c r="U24" s="25"/>
      <c r="V24" s="175"/>
      <c r="W24" s="198" t="s">
        <v>213</v>
      </c>
      <c r="X24" s="26">
        <v>0</v>
      </c>
      <c r="Y24" s="27">
        <v>0</v>
      </c>
      <c r="Z24" s="28">
        <v>0</v>
      </c>
      <c r="AA24" s="396">
        <v>0</v>
      </c>
      <c r="AB24" s="261" t="s">
        <v>232</v>
      </c>
      <c r="AC24" s="200"/>
    </row>
    <row r="25" spans="1:29" s="20" customFormat="1" x14ac:dyDescent="0.3">
      <c r="A25" s="370">
        <v>45680</v>
      </c>
      <c r="B25" s="37">
        <v>-0.7</v>
      </c>
      <c r="C25" s="14">
        <v>1.8</v>
      </c>
      <c r="D25" s="14">
        <v>2.5</v>
      </c>
      <c r="E25" s="14">
        <v>3</v>
      </c>
      <c r="F25" s="14">
        <v>-0.8</v>
      </c>
      <c r="G25" s="29">
        <f t="shared" si="0"/>
        <v>3.8</v>
      </c>
      <c r="H25" s="29">
        <f t="shared" si="1"/>
        <v>1.5249999999999999</v>
      </c>
      <c r="I25" s="60">
        <v>1.0740277777777751</v>
      </c>
      <c r="J25" s="165">
        <v>3</v>
      </c>
      <c r="K25" s="14">
        <v>-0.8</v>
      </c>
      <c r="L25" s="50">
        <v>1.0145833333333325</v>
      </c>
      <c r="M25" s="66">
        <v>100</v>
      </c>
      <c r="N25" s="24">
        <v>98.5</v>
      </c>
      <c r="O25" s="62">
        <v>99.551666666666605</v>
      </c>
      <c r="P25" s="377">
        <v>1016.25684153798</v>
      </c>
      <c r="Q25" s="21">
        <v>1010.5318005883699</v>
      </c>
      <c r="R25" s="383">
        <v>1013.2224468347854</v>
      </c>
      <c r="S25" s="54">
        <v>8.8000000070399995</v>
      </c>
      <c r="T25" s="47">
        <v>5.3233333375919987</v>
      </c>
      <c r="U25" s="25">
        <v>2.6803418824861516</v>
      </c>
      <c r="V25" s="175" t="s">
        <v>241</v>
      </c>
      <c r="W25" s="198" t="s">
        <v>224</v>
      </c>
      <c r="X25" s="26">
        <v>6</v>
      </c>
      <c r="Y25" s="27">
        <v>1.1000000000000001</v>
      </c>
      <c r="Z25" s="28">
        <v>0</v>
      </c>
      <c r="AA25" s="396">
        <v>0</v>
      </c>
      <c r="AB25" s="261" t="s">
        <v>233</v>
      </c>
      <c r="AC25" s="200"/>
    </row>
    <row r="26" spans="1:29" s="20" customFormat="1" x14ac:dyDescent="0.3">
      <c r="A26" s="370">
        <v>45681</v>
      </c>
      <c r="B26" s="37">
        <v>1</v>
      </c>
      <c r="C26" s="14">
        <v>4</v>
      </c>
      <c r="D26" s="14">
        <v>-0.8</v>
      </c>
      <c r="E26" s="14">
        <v>6.2</v>
      </c>
      <c r="F26" s="14">
        <v>-1.8</v>
      </c>
      <c r="G26" s="29">
        <f t="shared" si="0"/>
        <v>8</v>
      </c>
      <c r="H26" s="29">
        <f t="shared" si="1"/>
        <v>0.85</v>
      </c>
      <c r="I26" s="60">
        <v>1.492425295343992</v>
      </c>
      <c r="J26" s="165">
        <v>5.3</v>
      </c>
      <c r="K26" s="14">
        <v>-1.8</v>
      </c>
      <c r="L26" s="50">
        <v>1.3123002084781121</v>
      </c>
      <c r="M26" s="66">
        <v>100</v>
      </c>
      <c r="N26" s="24">
        <v>88.6</v>
      </c>
      <c r="O26" s="62">
        <v>98.763585823488569</v>
      </c>
      <c r="P26" s="377">
        <v>1019.60349529296</v>
      </c>
      <c r="Q26" s="21">
        <v>1014.16900020639</v>
      </c>
      <c r="R26" s="383">
        <v>1016.5215765474635</v>
      </c>
      <c r="S26" s="54">
        <v>2.7000000021599999</v>
      </c>
      <c r="T26" s="47">
        <v>1.8000000014399997</v>
      </c>
      <c r="U26" s="25">
        <v>0.47486637550136668</v>
      </c>
      <c r="V26" s="175" t="s">
        <v>242</v>
      </c>
      <c r="W26" s="198"/>
      <c r="X26" s="26">
        <v>0</v>
      </c>
      <c r="Y26" s="27">
        <v>0</v>
      </c>
      <c r="Z26" s="28">
        <v>0</v>
      </c>
      <c r="AA26" s="396">
        <v>0</v>
      </c>
      <c r="AB26" s="261" t="s">
        <v>234</v>
      </c>
      <c r="AC26" s="200"/>
    </row>
    <row r="27" spans="1:29" s="20" customFormat="1" x14ac:dyDescent="0.3">
      <c r="A27" s="370">
        <v>45682</v>
      </c>
      <c r="B27" s="37">
        <v>1.5</v>
      </c>
      <c r="C27" s="14">
        <v>4.3</v>
      </c>
      <c r="D27" s="14">
        <v>4.7</v>
      </c>
      <c r="E27" s="14">
        <v>4.8</v>
      </c>
      <c r="F27" s="14">
        <v>-1.5</v>
      </c>
      <c r="G27" s="29">
        <f t="shared" si="0"/>
        <v>6.3</v>
      </c>
      <c r="H27" s="29">
        <f t="shared" si="1"/>
        <v>3.8</v>
      </c>
      <c r="I27" s="60">
        <v>2.7797222222222113</v>
      </c>
      <c r="J27" s="165">
        <v>4.2</v>
      </c>
      <c r="K27" s="14">
        <v>-1.5</v>
      </c>
      <c r="L27" s="50">
        <v>2.4161805555555533</v>
      </c>
      <c r="M27" s="66">
        <v>100</v>
      </c>
      <c r="N27" s="24">
        <v>93.1</v>
      </c>
      <c r="O27" s="62">
        <v>97.493333333333183</v>
      </c>
      <c r="P27" s="377">
        <v>1021.07762623991</v>
      </c>
      <c r="Q27" s="21">
        <v>1018.73863566409</v>
      </c>
      <c r="R27" s="383">
        <v>1019.9743243185251</v>
      </c>
      <c r="S27" s="54">
        <v>9.5000000076000006</v>
      </c>
      <c r="T27" s="47">
        <v>5.6100000044879996</v>
      </c>
      <c r="U27" s="25">
        <v>2.9880883090377295</v>
      </c>
      <c r="V27" s="175" t="s">
        <v>239</v>
      </c>
      <c r="W27" s="198"/>
      <c r="X27" s="26">
        <v>0</v>
      </c>
      <c r="Y27" s="27">
        <v>0</v>
      </c>
      <c r="Z27" s="28">
        <v>0</v>
      </c>
      <c r="AA27" s="396">
        <v>0</v>
      </c>
      <c r="AB27" s="261" t="s">
        <v>235</v>
      </c>
      <c r="AC27" s="200"/>
    </row>
    <row r="28" spans="1:29" s="20" customFormat="1" x14ac:dyDescent="0.3">
      <c r="A28" s="370">
        <v>45683</v>
      </c>
      <c r="B28" s="37">
        <v>3</v>
      </c>
      <c r="C28" s="14">
        <v>5.0999999999999996</v>
      </c>
      <c r="D28" s="14">
        <v>6.3</v>
      </c>
      <c r="E28" s="14">
        <v>7.1</v>
      </c>
      <c r="F28" s="14">
        <v>1.6</v>
      </c>
      <c r="G28" s="29">
        <f t="shared" si="0"/>
        <v>5.5</v>
      </c>
      <c r="H28" s="29">
        <f t="shared" si="1"/>
        <v>5.1749999999999998</v>
      </c>
      <c r="I28" s="60">
        <v>4.148611111111113</v>
      </c>
      <c r="J28" s="165">
        <v>5.0999999999999996</v>
      </c>
      <c r="K28" s="14">
        <v>1</v>
      </c>
      <c r="L28" s="50">
        <v>2.824027777777768</v>
      </c>
      <c r="M28" s="66">
        <v>98.1</v>
      </c>
      <c r="N28" s="24">
        <v>84.9</v>
      </c>
      <c r="O28" s="62">
        <v>91.132430555555459</v>
      </c>
      <c r="P28" s="377">
        <v>1019.09953203393</v>
      </c>
      <c r="Q28" s="21">
        <v>1012.7472670933</v>
      </c>
      <c r="R28" s="383">
        <v>1014.9851396481851</v>
      </c>
      <c r="S28" s="54">
        <v>10.20000000816</v>
      </c>
      <c r="T28" s="47">
        <v>7.2100000057680003</v>
      </c>
      <c r="U28" s="25">
        <v>2.4197871330437031</v>
      </c>
      <c r="V28" s="175" t="s">
        <v>239</v>
      </c>
      <c r="W28" s="198"/>
      <c r="X28" s="26">
        <v>0</v>
      </c>
      <c r="Y28" s="27">
        <v>0</v>
      </c>
      <c r="Z28" s="28">
        <v>0</v>
      </c>
      <c r="AA28" s="396">
        <v>0</v>
      </c>
      <c r="AB28" s="261" t="s">
        <v>219</v>
      </c>
      <c r="AC28" s="200"/>
    </row>
    <row r="29" spans="1:29" s="20" customFormat="1" x14ac:dyDescent="0.3">
      <c r="A29" s="370">
        <v>45684</v>
      </c>
      <c r="B29" s="37">
        <v>0.9</v>
      </c>
      <c r="C29" s="14">
        <v>6</v>
      </c>
      <c r="D29" s="14">
        <v>8.6999999999999993</v>
      </c>
      <c r="E29" s="14">
        <v>9.1999999999999993</v>
      </c>
      <c r="F29" s="14">
        <v>0.4</v>
      </c>
      <c r="G29" s="29">
        <f t="shared" si="0"/>
        <v>8.7999999999999989</v>
      </c>
      <c r="H29" s="29">
        <f t="shared" si="1"/>
        <v>6.0749999999999993</v>
      </c>
      <c r="I29" s="60">
        <v>5.2416261292564323</v>
      </c>
      <c r="J29" s="165">
        <v>7</v>
      </c>
      <c r="K29" s="14">
        <v>0.2</v>
      </c>
      <c r="L29" s="50">
        <v>4.081236970118117</v>
      </c>
      <c r="M29" s="66">
        <v>100</v>
      </c>
      <c r="N29" s="24">
        <v>85.7</v>
      </c>
      <c r="O29" s="62">
        <v>92.404308547602298</v>
      </c>
      <c r="P29" s="377">
        <v>1014.64130911644</v>
      </c>
      <c r="Q29" s="21">
        <v>1007.51280509906</v>
      </c>
      <c r="R29" s="383">
        <v>1011.3547142155508</v>
      </c>
      <c r="S29" s="54">
        <v>9.2000000073599999</v>
      </c>
      <c r="T29" s="47">
        <v>5.8266666713280006</v>
      </c>
      <c r="U29" s="25">
        <v>2.3516727291540609</v>
      </c>
      <c r="V29" s="175" t="s">
        <v>239</v>
      </c>
      <c r="W29" s="198"/>
      <c r="X29" s="26">
        <v>0</v>
      </c>
      <c r="Y29" s="27">
        <v>0</v>
      </c>
      <c r="Z29" s="28">
        <v>0</v>
      </c>
      <c r="AA29" s="396">
        <v>0</v>
      </c>
      <c r="AB29" s="261" t="s">
        <v>219</v>
      </c>
      <c r="AC29" s="200"/>
    </row>
    <row r="30" spans="1:29" s="20" customFormat="1" x14ac:dyDescent="0.3">
      <c r="A30" s="370">
        <v>45685</v>
      </c>
      <c r="B30" s="37">
        <v>9</v>
      </c>
      <c r="C30" s="14">
        <v>10.1</v>
      </c>
      <c r="D30" s="14">
        <v>11.9</v>
      </c>
      <c r="E30" s="14">
        <v>12</v>
      </c>
      <c r="F30" s="14">
        <v>8.5</v>
      </c>
      <c r="G30" s="29">
        <f t="shared" si="0"/>
        <v>3.5</v>
      </c>
      <c r="H30" s="29">
        <f t="shared" si="1"/>
        <v>10.725000000000001</v>
      </c>
      <c r="I30" s="60">
        <v>9.9975000000000076</v>
      </c>
      <c r="J30" s="165">
        <v>7.5</v>
      </c>
      <c r="K30" s="14">
        <v>6</v>
      </c>
      <c r="L30" s="50">
        <v>6.8062499999999915</v>
      </c>
      <c r="M30" s="66">
        <v>87.8</v>
      </c>
      <c r="N30" s="24">
        <v>72.900000000000006</v>
      </c>
      <c r="O30" s="62">
        <v>80.664097222222239</v>
      </c>
      <c r="P30" s="377">
        <v>1008.1435766159</v>
      </c>
      <c r="Q30" s="21">
        <v>1003.59865562161</v>
      </c>
      <c r="R30" s="383">
        <v>1005.6520219267336</v>
      </c>
      <c r="S30" s="54">
        <v>9.5000000076000006</v>
      </c>
      <c r="T30" s="47">
        <v>6.2066666716320009</v>
      </c>
      <c r="U30" s="25">
        <v>3.2996366305466873</v>
      </c>
      <c r="V30" s="175" t="s">
        <v>239</v>
      </c>
      <c r="W30" s="198" t="s">
        <v>224</v>
      </c>
      <c r="X30" s="26">
        <v>6</v>
      </c>
      <c r="Y30" s="27">
        <v>0.4</v>
      </c>
      <c r="Z30" s="28">
        <v>0</v>
      </c>
      <c r="AA30" s="396">
        <v>0</v>
      </c>
      <c r="AB30" s="261" t="s">
        <v>236</v>
      </c>
      <c r="AC30" s="200"/>
    </row>
    <row r="31" spans="1:29" s="20" customFormat="1" x14ac:dyDescent="0.3">
      <c r="A31" s="370">
        <v>45686</v>
      </c>
      <c r="B31" s="37">
        <v>9.4</v>
      </c>
      <c r="C31" s="14">
        <v>12.1</v>
      </c>
      <c r="D31" s="14">
        <v>7.6</v>
      </c>
      <c r="E31" s="14">
        <v>12.3</v>
      </c>
      <c r="F31" s="14">
        <v>1.1000000000000001</v>
      </c>
      <c r="G31" s="29">
        <f t="shared" si="0"/>
        <v>11.200000000000001</v>
      </c>
      <c r="H31" s="29">
        <f t="shared" si="1"/>
        <v>9.1750000000000007</v>
      </c>
      <c r="I31" s="60">
        <v>8.9082001389854018</v>
      </c>
      <c r="J31" s="165">
        <v>8.1</v>
      </c>
      <c r="K31" s="14">
        <v>0.2</v>
      </c>
      <c r="L31" s="50">
        <v>5.6521890201528722</v>
      </c>
      <c r="M31" s="66">
        <v>94.7</v>
      </c>
      <c r="N31" s="24">
        <v>66.2</v>
      </c>
      <c r="O31" s="62">
        <v>80.451841556636509</v>
      </c>
      <c r="P31" s="377">
        <v>1018.52378712524</v>
      </c>
      <c r="Q31" s="21">
        <v>1003.69252045751</v>
      </c>
      <c r="R31" s="383">
        <v>1010.5408548544995</v>
      </c>
      <c r="S31" s="54">
        <v>11.900000009519999</v>
      </c>
      <c r="T31" s="47">
        <v>7.2366666724560007</v>
      </c>
      <c r="U31" s="25">
        <v>3.3900436073632245</v>
      </c>
      <c r="V31" s="175" t="s">
        <v>240</v>
      </c>
      <c r="W31" s="198"/>
      <c r="X31" s="26">
        <v>0</v>
      </c>
      <c r="Y31" s="27">
        <v>0</v>
      </c>
      <c r="Z31" s="28">
        <v>0</v>
      </c>
      <c r="AA31" s="396">
        <v>0</v>
      </c>
      <c r="AB31" s="261" t="s">
        <v>219</v>
      </c>
      <c r="AC31" s="200"/>
    </row>
    <row r="32" spans="1:29" s="20" customFormat="1" x14ac:dyDescent="0.3">
      <c r="A32" s="370">
        <v>45687</v>
      </c>
      <c r="B32" s="37">
        <v>-1.2</v>
      </c>
      <c r="C32" s="14">
        <v>12.9</v>
      </c>
      <c r="D32" s="14">
        <v>0.5</v>
      </c>
      <c r="E32" s="14">
        <v>14.1</v>
      </c>
      <c r="F32" s="14">
        <v>-1.6</v>
      </c>
      <c r="G32" s="29">
        <f t="shared" si="0"/>
        <v>15.7</v>
      </c>
      <c r="H32" s="29">
        <f>(B32+C32+2*D32)/4</f>
        <v>3.1750000000000003</v>
      </c>
      <c r="I32" s="60">
        <v>3.1765277777777787</v>
      </c>
      <c r="J32" s="165">
        <v>7.9</v>
      </c>
      <c r="K32" s="14">
        <v>-2.2000000000000002</v>
      </c>
      <c r="L32" s="50">
        <v>1.4572222222222244</v>
      </c>
      <c r="M32" s="66">
        <v>100</v>
      </c>
      <c r="N32" s="24">
        <v>60.5</v>
      </c>
      <c r="O32" s="62">
        <v>89.661041666666748</v>
      </c>
      <c r="P32" s="377">
        <v>1021.63684736177</v>
      </c>
      <c r="Q32" s="21">
        <v>1018.16991317655</v>
      </c>
      <c r="R32" s="383">
        <v>1019.9820430578104</v>
      </c>
      <c r="S32" s="54">
        <v>3.4000000027200001</v>
      </c>
      <c r="T32" s="47">
        <v>1.9333333348800004</v>
      </c>
      <c r="U32" s="25">
        <v>0.75061683659468414</v>
      </c>
      <c r="V32" s="175" t="s">
        <v>241</v>
      </c>
      <c r="W32" s="198"/>
      <c r="X32" s="26">
        <v>0</v>
      </c>
      <c r="Y32" s="27">
        <v>0</v>
      </c>
      <c r="Z32" s="28">
        <v>0</v>
      </c>
      <c r="AA32" s="396">
        <v>0</v>
      </c>
      <c r="AB32" s="261" t="s">
        <v>237</v>
      </c>
      <c r="AC32" s="200"/>
    </row>
    <row r="33" spans="1:29" s="312" customFormat="1" ht="15" thickBot="1" x14ac:dyDescent="0.35">
      <c r="A33" s="370">
        <v>45688</v>
      </c>
      <c r="B33" s="296">
        <v>-0.2</v>
      </c>
      <c r="C33" s="297">
        <v>11.9</v>
      </c>
      <c r="D33" s="297">
        <v>5.0999999999999996</v>
      </c>
      <c r="E33" s="297">
        <v>12</v>
      </c>
      <c r="F33" s="297">
        <v>-1.9</v>
      </c>
      <c r="G33" s="297">
        <f t="shared" si="0"/>
        <v>13.9</v>
      </c>
      <c r="H33" s="297">
        <f>(B33+C33+2*D33)/4</f>
        <v>5.4749999999999996</v>
      </c>
      <c r="I33" s="299">
        <v>4.4356250000000017</v>
      </c>
      <c r="J33" s="368">
        <v>7.7</v>
      </c>
      <c r="K33" s="297">
        <v>-2.4</v>
      </c>
      <c r="L33" s="298">
        <v>2.1106944444444449</v>
      </c>
      <c r="M33" s="300">
        <v>100</v>
      </c>
      <c r="N33" s="301">
        <v>73.400000000000006</v>
      </c>
      <c r="O33" s="302">
        <v>85.705694444444376</v>
      </c>
      <c r="P33" s="379">
        <v>1028.94437305372</v>
      </c>
      <c r="Q33" s="303">
        <v>1019.64614482499</v>
      </c>
      <c r="R33" s="385">
        <v>1022.3396631612439</v>
      </c>
      <c r="S33" s="304">
        <v>7.8000000062400003</v>
      </c>
      <c r="T33" s="305">
        <v>5.8766666713680014</v>
      </c>
      <c r="U33" s="306">
        <v>1.1500727811238416</v>
      </c>
      <c r="V33" s="307" t="s">
        <v>241</v>
      </c>
      <c r="W33" s="391"/>
      <c r="X33" s="308">
        <v>0</v>
      </c>
      <c r="Y33" s="309">
        <v>0</v>
      </c>
      <c r="Z33" s="310">
        <v>0</v>
      </c>
      <c r="AA33" s="397">
        <v>0</v>
      </c>
      <c r="AB33" s="311" t="s">
        <v>238</v>
      </c>
      <c r="AC33" s="357"/>
    </row>
    <row r="34" spans="1:29" s="326" customFormat="1" x14ac:dyDescent="0.3">
      <c r="A34" s="370">
        <v>45689</v>
      </c>
      <c r="B34" s="313">
        <v>-4.8</v>
      </c>
      <c r="C34" s="314">
        <v>8.8000000000000007</v>
      </c>
      <c r="D34" s="314">
        <v>-1.9</v>
      </c>
      <c r="E34" s="314">
        <v>8.8000000000000007</v>
      </c>
      <c r="F34" s="314">
        <v>-5.0999999999999996</v>
      </c>
      <c r="G34" s="315">
        <v>2.4</v>
      </c>
      <c r="H34" s="315">
        <v>-1.85</v>
      </c>
      <c r="I34" s="316">
        <v>0.2743988684582771</v>
      </c>
      <c r="J34" s="336">
        <v>2</v>
      </c>
      <c r="K34" s="314">
        <v>-6</v>
      </c>
      <c r="L34" s="315">
        <v>-2.6159123055162645</v>
      </c>
      <c r="M34" s="317">
        <v>96.1</v>
      </c>
      <c r="N34" s="318">
        <v>59.5</v>
      </c>
      <c r="O34" s="319">
        <v>82.066902404526047</v>
      </c>
      <c r="P34" s="380">
        <v>1031.42225367069</v>
      </c>
      <c r="Q34" s="320">
        <v>1028.6927456835799</v>
      </c>
      <c r="R34" s="386">
        <v>1029.8361998133196</v>
      </c>
      <c r="S34" s="290">
        <v>5.8000000046400002</v>
      </c>
      <c r="T34" s="291">
        <v>4.1733333366720009</v>
      </c>
      <c r="U34" s="291">
        <v>0.76391690743150054</v>
      </c>
      <c r="V34" s="292" t="s">
        <v>241</v>
      </c>
      <c r="W34" s="335"/>
      <c r="X34" s="322">
        <v>0</v>
      </c>
      <c r="Y34" s="323">
        <v>0</v>
      </c>
      <c r="Z34" s="324">
        <v>0</v>
      </c>
      <c r="AA34" s="398">
        <v>0</v>
      </c>
      <c r="AB34" s="325" t="s">
        <v>243</v>
      </c>
      <c r="AC34" s="402"/>
    </row>
    <row r="35" spans="1:29" s="20" customFormat="1" x14ac:dyDescent="0.3">
      <c r="A35" s="370">
        <v>45690</v>
      </c>
      <c r="B35" s="37">
        <v>-1.4</v>
      </c>
      <c r="C35" s="14">
        <v>2.9</v>
      </c>
      <c r="D35" s="14">
        <v>-0.6</v>
      </c>
      <c r="E35" s="14">
        <v>3.2</v>
      </c>
      <c r="F35" s="14">
        <v>-3.4</v>
      </c>
      <c r="G35" s="58">
        <v>1.7</v>
      </c>
      <c r="H35" s="58">
        <v>-1.8250000000000002</v>
      </c>
      <c r="I35" s="60">
        <v>-0.22668519805420548</v>
      </c>
      <c r="J35" s="165">
        <v>0.2</v>
      </c>
      <c r="K35" s="14">
        <v>-4.4000000000000004</v>
      </c>
      <c r="L35" s="50">
        <v>-1.7289784572619837</v>
      </c>
      <c r="M35" s="66">
        <v>96.1</v>
      </c>
      <c r="N35" s="24">
        <v>78.900000000000006</v>
      </c>
      <c r="O35" s="62">
        <v>89.826824183460573</v>
      </c>
      <c r="P35" s="377">
        <v>1029.22345842391</v>
      </c>
      <c r="Q35" s="21">
        <v>1023.1642782996501</v>
      </c>
      <c r="R35" s="383">
        <v>1025.2919391486366</v>
      </c>
      <c r="S35" s="54">
        <v>2.7000000021599999</v>
      </c>
      <c r="T35" s="47">
        <v>1.490000001192</v>
      </c>
      <c r="U35" s="25">
        <v>0.31519886388852547</v>
      </c>
      <c r="V35" s="175" t="s">
        <v>241</v>
      </c>
      <c r="W35" s="196" t="s">
        <v>213</v>
      </c>
      <c r="X35" s="16">
        <v>0</v>
      </c>
      <c r="Y35" s="17">
        <v>0</v>
      </c>
      <c r="Z35" s="18">
        <v>0</v>
      </c>
      <c r="AA35" s="394">
        <v>0</v>
      </c>
      <c r="AB35" s="260" t="s">
        <v>219</v>
      </c>
      <c r="AC35" s="200"/>
    </row>
    <row r="36" spans="1:29" s="20" customFormat="1" x14ac:dyDescent="0.3">
      <c r="A36" s="370">
        <v>45691</v>
      </c>
      <c r="B36" s="37">
        <v>-3</v>
      </c>
      <c r="C36" s="14">
        <v>4.3</v>
      </c>
      <c r="D36" s="14">
        <v>-1.8</v>
      </c>
      <c r="E36" s="14">
        <v>6</v>
      </c>
      <c r="F36" s="14">
        <v>-4.9000000000000004</v>
      </c>
      <c r="G36" s="58">
        <v>10.3</v>
      </c>
      <c r="H36" s="58">
        <v>-1.2250000000000001</v>
      </c>
      <c r="I36" s="60">
        <v>-0.3124305555555556</v>
      </c>
      <c r="J36" s="165">
        <v>1.1000000000000001</v>
      </c>
      <c r="K36" s="14">
        <v>-6.5</v>
      </c>
      <c r="L36" s="50">
        <v>-2.8102777777777828</v>
      </c>
      <c r="M36" s="66">
        <v>98.8</v>
      </c>
      <c r="N36" s="24">
        <v>62.9</v>
      </c>
      <c r="O36" s="62">
        <v>84.171249999999958</v>
      </c>
      <c r="P36" s="377">
        <v>1029.82865529793</v>
      </c>
      <c r="Q36" s="21">
        <v>1024.13716970723</v>
      </c>
      <c r="R36" s="383">
        <v>1026.4086115963491</v>
      </c>
      <c r="S36" s="54">
        <v>6.5000000052000004</v>
      </c>
      <c r="T36" s="47">
        <v>3.5500000028400001</v>
      </c>
      <c r="U36" s="25">
        <v>0.87149368933674665</v>
      </c>
      <c r="V36" s="175" t="s">
        <v>241</v>
      </c>
      <c r="W36" s="196"/>
      <c r="X36" s="16">
        <v>0</v>
      </c>
      <c r="Y36" s="17">
        <v>0</v>
      </c>
      <c r="Z36" s="18">
        <v>0</v>
      </c>
      <c r="AA36" s="394">
        <v>0</v>
      </c>
      <c r="AB36" s="260" t="s">
        <v>238</v>
      </c>
      <c r="AC36" s="200"/>
    </row>
    <row r="37" spans="1:29" s="20" customFormat="1" x14ac:dyDescent="0.3">
      <c r="A37" s="370">
        <v>45692</v>
      </c>
      <c r="B37" s="37">
        <v>-3.3</v>
      </c>
      <c r="C37" s="14">
        <v>4.3</v>
      </c>
      <c r="D37" s="14">
        <v>0.2</v>
      </c>
      <c r="E37" s="14">
        <v>5.4</v>
      </c>
      <c r="F37" s="14">
        <v>-5.0999999999999996</v>
      </c>
      <c r="G37" s="58">
        <v>11.5</v>
      </c>
      <c r="H37" s="58">
        <v>-4.4749999999999996</v>
      </c>
      <c r="I37" s="60">
        <v>-0.4809722222222152</v>
      </c>
      <c r="J37" s="165">
        <v>-0.9</v>
      </c>
      <c r="K37" s="14">
        <v>-6.5</v>
      </c>
      <c r="L37" s="50">
        <v>-3.1731944444444462</v>
      </c>
      <c r="M37" s="66">
        <v>96.7</v>
      </c>
      <c r="N37" s="24">
        <v>61.9</v>
      </c>
      <c r="O37" s="62">
        <v>83.006180555555531</v>
      </c>
      <c r="P37" s="377">
        <v>1032.4090156224199</v>
      </c>
      <c r="Q37" s="21">
        <v>1029.27585304998</v>
      </c>
      <c r="R37" s="383">
        <v>1030.5639202515399</v>
      </c>
      <c r="S37" s="55">
        <v>3.1000000024799998</v>
      </c>
      <c r="T37" s="48">
        <v>2.3466666685439996</v>
      </c>
      <c r="U37" s="19">
        <v>0.41190649257758544</v>
      </c>
      <c r="V37" s="175" t="s">
        <v>240</v>
      </c>
      <c r="W37" s="197"/>
      <c r="X37" s="16">
        <v>0</v>
      </c>
      <c r="Y37" s="17">
        <v>0</v>
      </c>
      <c r="Z37" s="18">
        <v>0</v>
      </c>
      <c r="AA37" s="394">
        <v>0</v>
      </c>
      <c r="AB37" s="260" t="s">
        <v>238</v>
      </c>
      <c r="AC37" s="200"/>
    </row>
    <row r="38" spans="1:29" s="20" customFormat="1" x14ac:dyDescent="0.3">
      <c r="A38" s="370">
        <v>45693</v>
      </c>
      <c r="B38" s="37">
        <v>-3.4</v>
      </c>
      <c r="C38" s="14">
        <v>5.4</v>
      </c>
      <c r="D38" s="14">
        <v>-2.9</v>
      </c>
      <c r="E38" s="14">
        <v>7.5</v>
      </c>
      <c r="F38" s="14">
        <v>-4.9000000000000004</v>
      </c>
      <c r="G38" s="58">
        <v>9.5</v>
      </c>
      <c r="H38" s="58">
        <v>-2.5499999999999998</v>
      </c>
      <c r="I38" s="60">
        <v>-0.52425295343989065</v>
      </c>
      <c r="J38" s="165">
        <v>0.3</v>
      </c>
      <c r="K38" s="14">
        <v>-6.3</v>
      </c>
      <c r="L38" s="50">
        <v>-2.9574009728978519</v>
      </c>
      <c r="M38" s="66">
        <v>97.4</v>
      </c>
      <c r="N38" s="24">
        <v>59.1</v>
      </c>
      <c r="O38" s="62">
        <v>84.6694927032663</v>
      </c>
      <c r="P38" s="377">
        <v>1035.0363386347201</v>
      </c>
      <c r="Q38" s="21">
        <v>1030.19524162282</v>
      </c>
      <c r="R38" s="383">
        <v>1032.2306483485338</v>
      </c>
      <c r="S38" s="54">
        <v>3.4000000027200001</v>
      </c>
      <c r="T38" s="47">
        <v>1.3333333344000002</v>
      </c>
      <c r="U38" s="25">
        <v>0.33907420863481086</v>
      </c>
      <c r="V38" s="175" t="s">
        <v>241</v>
      </c>
      <c r="W38" s="197"/>
      <c r="X38" s="16">
        <v>0</v>
      </c>
      <c r="Y38" s="17">
        <v>0</v>
      </c>
      <c r="Z38" s="18">
        <v>0</v>
      </c>
      <c r="AA38" s="394">
        <v>0</v>
      </c>
      <c r="AB38" s="260" t="s">
        <v>215</v>
      </c>
      <c r="AC38" s="200"/>
    </row>
    <row r="39" spans="1:29" s="20" customFormat="1" ht="14.4" customHeight="1" x14ac:dyDescent="0.3">
      <c r="A39" s="370">
        <v>45694</v>
      </c>
      <c r="B39" s="37">
        <v>1.1000000000000001</v>
      </c>
      <c r="C39" s="14">
        <v>3.5</v>
      </c>
      <c r="D39" s="14">
        <v>1.1000000000000001</v>
      </c>
      <c r="E39" s="14">
        <v>3.5</v>
      </c>
      <c r="F39" s="14">
        <v>-4.9000000000000004</v>
      </c>
      <c r="G39" s="58">
        <v>8.9</v>
      </c>
      <c r="H39" s="58">
        <v>4.0750000000000002</v>
      </c>
      <c r="I39" s="60">
        <v>1.2674999999999985</v>
      </c>
      <c r="J39" s="165">
        <v>0.9</v>
      </c>
      <c r="K39" s="14">
        <v>-6.2</v>
      </c>
      <c r="L39" s="50">
        <v>-0.56493055555556482</v>
      </c>
      <c r="M39" s="66">
        <v>97.9</v>
      </c>
      <c r="N39" s="24">
        <v>82.6</v>
      </c>
      <c r="O39" s="62">
        <v>87.620833333333394</v>
      </c>
      <c r="P39" s="377">
        <v>1037.66840587563</v>
      </c>
      <c r="Q39" s="21">
        <v>1034.6498119831599</v>
      </c>
      <c r="R39" s="383">
        <v>1036.2258655199496</v>
      </c>
      <c r="S39" s="54">
        <v>7.5000000059999996</v>
      </c>
      <c r="T39" s="47">
        <v>4.280000003424</v>
      </c>
      <c r="U39" s="25">
        <v>1.3070611162148684</v>
      </c>
      <c r="V39" s="175" t="s">
        <v>241</v>
      </c>
      <c r="W39" s="197" t="s">
        <v>213</v>
      </c>
      <c r="X39" s="16">
        <v>0</v>
      </c>
      <c r="Y39" s="17">
        <v>0</v>
      </c>
      <c r="Z39" s="18">
        <v>0</v>
      </c>
      <c r="AA39" s="394">
        <v>0</v>
      </c>
      <c r="AB39" s="260" t="s">
        <v>219</v>
      </c>
      <c r="AC39" s="200"/>
    </row>
    <row r="40" spans="1:29" s="20" customFormat="1" ht="28.8" x14ac:dyDescent="0.3">
      <c r="A40" s="370">
        <v>45695</v>
      </c>
      <c r="B40" s="37">
        <v>-3.1</v>
      </c>
      <c r="C40" s="14">
        <v>3.3</v>
      </c>
      <c r="D40" s="14">
        <v>-1.6</v>
      </c>
      <c r="E40" s="14">
        <v>3.5</v>
      </c>
      <c r="F40" s="14">
        <v>-4.0999999999999996</v>
      </c>
      <c r="G40" s="58">
        <v>6.2000000000000011</v>
      </c>
      <c r="H40" s="58">
        <v>7.375</v>
      </c>
      <c r="I40" s="60">
        <v>-0.32835302293259783</v>
      </c>
      <c r="J40" s="165">
        <v>0.4</v>
      </c>
      <c r="K40" s="14">
        <v>-5.5</v>
      </c>
      <c r="L40" s="50">
        <v>-2.7968728283530191</v>
      </c>
      <c r="M40" s="66">
        <v>97.9</v>
      </c>
      <c r="N40" s="24">
        <v>66.7</v>
      </c>
      <c r="O40" s="62">
        <v>84.098749131341137</v>
      </c>
      <c r="P40" s="377">
        <v>1038.16880746211</v>
      </c>
      <c r="Q40" s="21">
        <v>1035.9351854551801</v>
      </c>
      <c r="R40" s="383">
        <v>1037.155758242425</v>
      </c>
      <c r="S40" s="54">
        <v>5.8000000046400002</v>
      </c>
      <c r="T40" s="47">
        <v>3.2350000025879999</v>
      </c>
      <c r="U40" s="25">
        <v>0.72408642033234838</v>
      </c>
      <c r="V40" s="175" t="s">
        <v>241</v>
      </c>
      <c r="W40" s="197"/>
      <c r="X40" s="16">
        <v>0</v>
      </c>
      <c r="Y40" s="17">
        <v>0</v>
      </c>
      <c r="Z40" s="18">
        <v>0</v>
      </c>
      <c r="AA40" s="394">
        <v>0</v>
      </c>
      <c r="AB40" s="260" t="s">
        <v>245</v>
      </c>
      <c r="AC40" s="200"/>
    </row>
    <row r="41" spans="1:29" s="20" customFormat="1" x14ac:dyDescent="0.3">
      <c r="A41" s="370">
        <v>45696</v>
      </c>
      <c r="B41" s="37">
        <v>-4.5999999999999996</v>
      </c>
      <c r="C41" s="14">
        <v>4.7</v>
      </c>
      <c r="D41" s="14">
        <v>-3.7</v>
      </c>
      <c r="E41" s="14">
        <v>5.2</v>
      </c>
      <c r="F41" s="14">
        <v>-6.7</v>
      </c>
      <c r="G41" s="58">
        <v>6.7</v>
      </c>
      <c r="H41" s="58">
        <v>3.3</v>
      </c>
      <c r="I41" s="60">
        <v>-1.3649305555555569</v>
      </c>
      <c r="J41" s="165">
        <v>-0.5</v>
      </c>
      <c r="K41" s="14">
        <v>-7.9</v>
      </c>
      <c r="L41" s="50">
        <v>-4.3249305555555431</v>
      </c>
      <c r="M41" s="66">
        <v>98.2</v>
      </c>
      <c r="N41" s="24">
        <v>59</v>
      </c>
      <c r="O41" s="62">
        <v>81.794444444444494</v>
      </c>
      <c r="P41" s="377">
        <v>1037.3058672326299</v>
      </c>
      <c r="Q41" s="21">
        <v>1033.5930336850399</v>
      </c>
      <c r="R41" s="383">
        <v>1035.5281978829091</v>
      </c>
      <c r="S41" s="54">
        <v>5.8000000046400002</v>
      </c>
      <c r="T41" s="47">
        <v>3.9733333365120003</v>
      </c>
      <c r="U41" s="25">
        <v>0.75337503318022281</v>
      </c>
      <c r="V41" s="175" t="s">
        <v>241</v>
      </c>
      <c r="W41" s="197"/>
      <c r="X41" s="16">
        <v>0</v>
      </c>
      <c r="Y41" s="17">
        <v>0</v>
      </c>
      <c r="Z41" s="18">
        <v>0</v>
      </c>
      <c r="AA41" s="394">
        <v>0</v>
      </c>
      <c r="AB41" s="260" t="s">
        <v>244</v>
      </c>
      <c r="AC41" s="200"/>
    </row>
    <row r="42" spans="1:29" s="20" customFormat="1" x14ac:dyDescent="0.3">
      <c r="A42" s="370">
        <v>45697</v>
      </c>
      <c r="B42" s="37">
        <v>-9.4</v>
      </c>
      <c r="C42" s="14">
        <v>7.6</v>
      </c>
      <c r="D42" s="14">
        <v>-2.2000000000000002</v>
      </c>
      <c r="E42" s="14">
        <v>7.8</v>
      </c>
      <c r="F42" s="14">
        <v>-9.6999999999999993</v>
      </c>
      <c r="G42" s="58">
        <v>8.3000000000000007</v>
      </c>
      <c r="H42" s="58">
        <v>8.7249999999999996</v>
      </c>
      <c r="I42" s="60">
        <v>-2.0895066018068134</v>
      </c>
      <c r="J42" s="165">
        <v>-0.1</v>
      </c>
      <c r="K42" s="14">
        <v>-10.9</v>
      </c>
      <c r="L42" s="50">
        <v>-5.5135510771369036</v>
      </c>
      <c r="M42" s="66">
        <v>96.7</v>
      </c>
      <c r="N42" s="24">
        <v>51.6</v>
      </c>
      <c r="O42" s="62">
        <v>79.330993745656571</v>
      </c>
      <c r="P42" s="377">
        <v>1035.03357617288</v>
      </c>
      <c r="Q42" s="21">
        <v>1030.62929807614</v>
      </c>
      <c r="R42" s="383">
        <v>1032.8114723228819</v>
      </c>
      <c r="S42" s="54">
        <v>4.1000000032799999</v>
      </c>
      <c r="T42" s="47">
        <v>2.390000001912</v>
      </c>
      <c r="U42" s="25">
        <v>0.6287218596169869</v>
      </c>
      <c r="V42" s="175" t="s">
        <v>241</v>
      </c>
      <c r="W42" s="197"/>
      <c r="X42" s="16">
        <v>0</v>
      </c>
      <c r="Y42" s="17">
        <v>0</v>
      </c>
      <c r="Z42" s="18">
        <v>0</v>
      </c>
      <c r="AA42" s="394">
        <v>0</v>
      </c>
      <c r="AB42" s="260" t="s">
        <v>246</v>
      </c>
      <c r="AC42" s="200"/>
    </row>
    <row r="43" spans="1:29" s="20" customFormat="1" x14ac:dyDescent="0.3">
      <c r="A43" s="370">
        <v>45698</v>
      </c>
      <c r="B43" s="37">
        <v>-8.8000000000000007</v>
      </c>
      <c r="C43" s="14">
        <v>7.4</v>
      </c>
      <c r="D43" s="14">
        <v>-3</v>
      </c>
      <c r="E43" s="14">
        <v>8.6999999999999993</v>
      </c>
      <c r="F43" s="14">
        <v>-9.1</v>
      </c>
      <c r="G43" s="58">
        <v>12.7</v>
      </c>
      <c r="H43" s="58">
        <v>0.82500000000000018</v>
      </c>
      <c r="I43" s="60">
        <v>-1.789861111111108</v>
      </c>
      <c r="J43" s="165">
        <v>-0.8</v>
      </c>
      <c r="K43" s="14">
        <v>-10.3</v>
      </c>
      <c r="L43" s="50">
        <v>-5.7086111111111055</v>
      </c>
      <c r="M43" s="66">
        <v>96.9</v>
      </c>
      <c r="N43" s="24">
        <v>47.8</v>
      </c>
      <c r="O43" s="62">
        <v>76.542222222222179</v>
      </c>
      <c r="P43" s="377">
        <v>1031.5741679487701</v>
      </c>
      <c r="Q43" s="21">
        <v>1027.4979523208599</v>
      </c>
      <c r="R43" s="383">
        <v>1030.0201288251462</v>
      </c>
      <c r="S43" s="54">
        <v>5.4000000043199998</v>
      </c>
      <c r="T43" s="47">
        <v>3.1933333358880001</v>
      </c>
      <c r="U43" s="25">
        <v>0.71168610358198203</v>
      </c>
      <c r="V43" s="175" t="s">
        <v>241</v>
      </c>
      <c r="W43" s="197"/>
      <c r="X43" s="16">
        <v>0</v>
      </c>
      <c r="Y43" s="17">
        <v>0</v>
      </c>
      <c r="Z43" s="18">
        <v>0</v>
      </c>
      <c r="AA43" s="394">
        <v>0</v>
      </c>
      <c r="AB43" s="260" t="s">
        <v>247</v>
      </c>
      <c r="AC43" s="200"/>
    </row>
    <row r="44" spans="1:29" s="20" customFormat="1" x14ac:dyDescent="0.3">
      <c r="A44" s="370">
        <v>45699</v>
      </c>
      <c r="B44" s="37">
        <v>-10.6</v>
      </c>
      <c r="C44" s="14">
        <v>6.5</v>
      </c>
      <c r="D44" s="14">
        <v>-4.9000000000000004</v>
      </c>
      <c r="E44" s="14">
        <v>7.9</v>
      </c>
      <c r="F44" s="14">
        <v>-10.6</v>
      </c>
      <c r="G44" s="58">
        <v>3.9</v>
      </c>
      <c r="H44" s="58">
        <v>-1.1499999999999999</v>
      </c>
      <c r="I44" s="60">
        <v>-3.3435024322446054</v>
      </c>
      <c r="J44" s="165">
        <v>-1.8</v>
      </c>
      <c r="K44" s="14">
        <v>-12</v>
      </c>
      <c r="L44" s="50">
        <v>-7.5221681723419103</v>
      </c>
      <c r="M44" s="66">
        <v>95</v>
      </c>
      <c r="N44" s="24">
        <v>43.1</v>
      </c>
      <c r="O44" s="62">
        <v>74.999861014593435</v>
      </c>
      <c r="P44" s="377">
        <v>1032.49862636181</v>
      </c>
      <c r="Q44" s="21">
        <v>1028.6411745206001</v>
      </c>
      <c r="R44" s="383">
        <v>1030.9130964707012</v>
      </c>
      <c r="S44" s="54">
        <v>4.4000000035199998</v>
      </c>
      <c r="T44" s="47">
        <v>3.0166666690800001</v>
      </c>
      <c r="U44" s="25">
        <v>0.57400145289202265</v>
      </c>
      <c r="V44" s="175" t="s">
        <v>241</v>
      </c>
      <c r="W44" s="197"/>
      <c r="X44" s="16">
        <v>0</v>
      </c>
      <c r="Y44" s="17">
        <v>0</v>
      </c>
      <c r="Z44" s="18">
        <v>0</v>
      </c>
      <c r="AA44" s="394">
        <v>0</v>
      </c>
      <c r="AB44" s="260" t="s">
        <v>248</v>
      </c>
      <c r="AC44" s="200"/>
    </row>
    <row r="45" spans="1:29" s="20" customFormat="1" ht="28.8" x14ac:dyDescent="0.3">
      <c r="A45" s="370">
        <v>45700</v>
      </c>
      <c r="B45" s="37">
        <v>-11</v>
      </c>
      <c r="C45" s="14">
        <v>4.5999999999999996</v>
      </c>
      <c r="D45" s="14">
        <v>-4</v>
      </c>
      <c r="E45" s="14">
        <v>5.3</v>
      </c>
      <c r="F45" s="14">
        <v>-11.2</v>
      </c>
      <c r="G45" s="58">
        <v>5.9</v>
      </c>
      <c r="H45" s="58">
        <v>0.75</v>
      </c>
      <c r="I45" s="60">
        <v>-3.3420833333333362</v>
      </c>
      <c r="J45" s="165">
        <v>-2.8</v>
      </c>
      <c r="K45" s="14">
        <v>-12.7</v>
      </c>
      <c r="L45" s="50">
        <v>-7.9954861111110729</v>
      </c>
      <c r="M45" s="66">
        <v>94.7</v>
      </c>
      <c r="N45" s="24">
        <v>46.1</v>
      </c>
      <c r="O45" s="62">
        <v>72.727499999999964</v>
      </c>
      <c r="P45" s="377">
        <v>1031.6253400753001</v>
      </c>
      <c r="Q45" s="21">
        <v>1023.37399590261</v>
      </c>
      <c r="R45" s="383">
        <v>1027.6037137882965</v>
      </c>
      <c r="S45" s="54">
        <v>7.8000000062400003</v>
      </c>
      <c r="T45" s="47">
        <v>5.2833333375600002</v>
      </c>
      <c r="U45" s="25">
        <v>1.1837206497003097</v>
      </c>
      <c r="V45" s="175" t="s">
        <v>241</v>
      </c>
      <c r="W45" s="197"/>
      <c r="X45" s="16">
        <v>0</v>
      </c>
      <c r="Y45" s="17">
        <v>0</v>
      </c>
      <c r="Z45" s="18">
        <v>0</v>
      </c>
      <c r="AA45" s="394">
        <v>0</v>
      </c>
      <c r="AB45" s="260" t="s">
        <v>249</v>
      </c>
      <c r="AC45" s="200"/>
    </row>
    <row r="46" spans="1:29" s="20" customFormat="1" x14ac:dyDescent="0.3">
      <c r="A46" s="370">
        <v>45701</v>
      </c>
      <c r="B46" s="37">
        <v>-0.6</v>
      </c>
      <c r="C46" s="14">
        <v>1</v>
      </c>
      <c r="D46" s="14">
        <v>0.4</v>
      </c>
      <c r="E46" s="14">
        <v>1.4</v>
      </c>
      <c r="F46" s="14">
        <v>-2.6</v>
      </c>
      <c r="G46" s="58">
        <v>2.7</v>
      </c>
      <c r="H46" s="58">
        <v>-0.25</v>
      </c>
      <c r="I46" s="60">
        <v>0.14482279360667225</v>
      </c>
      <c r="J46" s="165">
        <v>-1</v>
      </c>
      <c r="K46" s="14">
        <v>-5.6</v>
      </c>
      <c r="L46" s="50">
        <v>-2.6910354412786774</v>
      </c>
      <c r="M46" s="66">
        <v>91</v>
      </c>
      <c r="N46" s="24">
        <v>67</v>
      </c>
      <c r="O46" s="62">
        <v>81.420708825573143</v>
      </c>
      <c r="P46" s="377">
        <v>1023.47645625462</v>
      </c>
      <c r="Q46" s="21">
        <v>1015.61552390073</v>
      </c>
      <c r="R46" s="383">
        <v>1019.245500473061</v>
      </c>
      <c r="S46" s="54">
        <v>6.5000000052000004</v>
      </c>
      <c r="T46" s="47">
        <v>4.1700000033360007</v>
      </c>
      <c r="U46" s="25">
        <v>1.3912185088649143</v>
      </c>
      <c r="V46" s="175" t="s">
        <v>239</v>
      </c>
      <c r="W46" s="198" t="s">
        <v>216</v>
      </c>
      <c r="X46" s="26">
        <v>6</v>
      </c>
      <c r="Y46" s="27">
        <v>0.3</v>
      </c>
      <c r="Z46" s="28">
        <v>0</v>
      </c>
      <c r="AA46" s="396">
        <v>0</v>
      </c>
      <c r="AB46" s="261" t="s">
        <v>219</v>
      </c>
      <c r="AC46" s="200"/>
    </row>
    <row r="47" spans="1:29" s="20" customFormat="1" x14ac:dyDescent="0.3">
      <c r="A47" s="370">
        <v>45702</v>
      </c>
      <c r="B47" s="37">
        <v>0.1</v>
      </c>
      <c r="C47" s="14">
        <v>3.3</v>
      </c>
      <c r="D47" s="14">
        <v>0</v>
      </c>
      <c r="E47" s="14">
        <v>3.4</v>
      </c>
      <c r="F47" s="14">
        <v>-2.2000000000000002</v>
      </c>
      <c r="G47" s="58">
        <v>7</v>
      </c>
      <c r="H47" s="58">
        <v>-2.7750000000000004</v>
      </c>
      <c r="I47" s="60">
        <v>0.78993055555555369</v>
      </c>
      <c r="J47" s="165">
        <v>2.2999999999999998</v>
      </c>
      <c r="K47" s="14">
        <v>-6.2</v>
      </c>
      <c r="L47" s="50">
        <v>-0.80368055555555518</v>
      </c>
      <c r="M47" s="66">
        <v>96.1</v>
      </c>
      <c r="N47" s="24">
        <v>73.7</v>
      </c>
      <c r="O47" s="62">
        <v>89.197569444444539</v>
      </c>
      <c r="P47" s="377">
        <v>1022.03959902034</v>
      </c>
      <c r="Q47" s="21">
        <v>1014.10570821752</v>
      </c>
      <c r="R47" s="383">
        <v>1016.4214739101272</v>
      </c>
      <c r="S47" s="54">
        <v>9.2000000073599999</v>
      </c>
      <c r="T47" s="47">
        <v>5.6200000044959992</v>
      </c>
      <c r="U47" s="25">
        <v>1.7636792466939681</v>
      </c>
      <c r="V47" s="175" t="s">
        <v>241</v>
      </c>
      <c r="W47" s="198" t="s">
        <v>216</v>
      </c>
      <c r="X47" s="26">
        <v>6</v>
      </c>
      <c r="Y47" s="27">
        <v>0.6</v>
      </c>
      <c r="Z47" s="28">
        <v>2</v>
      </c>
      <c r="AA47" s="396">
        <v>2</v>
      </c>
      <c r="AB47" s="261" t="s">
        <v>259</v>
      </c>
      <c r="AC47" s="403"/>
    </row>
    <row r="48" spans="1:29" s="20" customFormat="1" x14ac:dyDescent="0.3">
      <c r="A48" s="370">
        <v>45703</v>
      </c>
      <c r="B48" s="37">
        <v>-7.4</v>
      </c>
      <c r="C48" s="14">
        <v>-0.1</v>
      </c>
      <c r="D48" s="14">
        <v>-4.2</v>
      </c>
      <c r="E48" s="14">
        <v>0</v>
      </c>
      <c r="F48" s="14">
        <v>-7.5</v>
      </c>
      <c r="G48" s="58">
        <v>1.3000000000000003</v>
      </c>
      <c r="H48" s="58">
        <v>-1.875</v>
      </c>
      <c r="I48" s="60">
        <v>-3.5041695621960054</v>
      </c>
      <c r="J48" s="165">
        <v>-3.7</v>
      </c>
      <c r="K48" s="14">
        <v>-9.1</v>
      </c>
      <c r="L48" s="50">
        <v>-6.8289784572620578</v>
      </c>
      <c r="M48" s="66">
        <v>94.3</v>
      </c>
      <c r="N48" s="24">
        <v>63.5</v>
      </c>
      <c r="O48" s="62">
        <v>78.136900625434464</v>
      </c>
      <c r="P48" s="377">
        <v>1023.12179473166</v>
      </c>
      <c r="Q48" s="21">
        <v>1020.76950066322</v>
      </c>
      <c r="R48" s="387">
        <v>1021.9916848034213</v>
      </c>
      <c r="S48" s="54">
        <v>8.5000000068000006</v>
      </c>
      <c r="T48" s="47">
        <v>4.3266666701280005</v>
      </c>
      <c r="U48" s="25">
        <v>1.1087808426867372</v>
      </c>
      <c r="V48" s="175" t="s">
        <v>241</v>
      </c>
      <c r="W48" s="198" t="s">
        <v>213</v>
      </c>
      <c r="X48" s="26">
        <v>0</v>
      </c>
      <c r="Y48" s="27">
        <v>0</v>
      </c>
      <c r="Z48" s="28">
        <v>0</v>
      </c>
      <c r="AA48" s="396">
        <v>0</v>
      </c>
      <c r="AB48" s="261" t="s">
        <v>250</v>
      </c>
      <c r="AC48" s="200"/>
    </row>
    <row r="49" spans="1:29" s="20" customFormat="1" x14ac:dyDescent="0.3">
      <c r="A49" s="370">
        <v>45704</v>
      </c>
      <c r="B49" s="37">
        <v>-7.4</v>
      </c>
      <c r="C49" s="14">
        <v>3.1</v>
      </c>
      <c r="D49" s="14">
        <v>-6.7</v>
      </c>
      <c r="E49" s="14">
        <v>3.1</v>
      </c>
      <c r="F49" s="14">
        <v>-10.199999999999999</v>
      </c>
      <c r="G49" s="58">
        <v>3.6</v>
      </c>
      <c r="H49" s="58">
        <v>-0.27500000000000002</v>
      </c>
      <c r="I49" s="60">
        <v>-3.4363194444444383</v>
      </c>
      <c r="J49" s="165">
        <v>-4.0999999999999996</v>
      </c>
      <c r="K49" s="14">
        <v>-11.8</v>
      </c>
      <c r="L49" s="50">
        <v>-7.4559027777777693</v>
      </c>
      <c r="M49" s="66">
        <v>94.8</v>
      </c>
      <c r="N49" s="24">
        <v>48.2</v>
      </c>
      <c r="O49" s="62">
        <v>75.191180555555491</v>
      </c>
      <c r="P49" s="377">
        <v>1024.5842381596599</v>
      </c>
      <c r="Q49" s="21">
        <v>1019.5940435809</v>
      </c>
      <c r="R49" s="387">
        <v>1021.5748090484926</v>
      </c>
      <c r="S49" s="54">
        <v>6.8000000054400003</v>
      </c>
      <c r="T49" s="47">
        <v>3.8833333364399998</v>
      </c>
      <c r="U49" s="25">
        <v>0.77584242486309352</v>
      </c>
      <c r="V49" s="175" t="s">
        <v>241</v>
      </c>
      <c r="W49" s="198" t="s">
        <v>213</v>
      </c>
      <c r="X49" s="26">
        <v>0</v>
      </c>
      <c r="Y49" s="27">
        <v>0</v>
      </c>
      <c r="Z49" s="28">
        <v>0</v>
      </c>
      <c r="AA49" s="396">
        <v>0</v>
      </c>
      <c r="AB49" s="261" t="s">
        <v>251</v>
      </c>
      <c r="AC49" s="200"/>
    </row>
    <row r="50" spans="1:29" s="20" customFormat="1" x14ac:dyDescent="0.3">
      <c r="A50" s="370">
        <v>45705</v>
      </c>
      <c r="B50" s="37">
        <v>-12.8</v>
      </c>
      <c r="C50" s="14">
        <v>1.8</v>
      </c>
      <c r="D50" s="14">
        <v>-6.6</v>
      </c>
      <c r="E50" s="14">
        <v>3</v>
      </c>
      <c r="F50" s="14">
        <v>-12.9</v>
      </c>
      <c r="G50" s="58">
        <v>0.6</v>
      </c>
      <c r="H50" s="58">
        <v>-0.5</v>
      </c>
      <c r="I50" s="60">
        <v>-5.8731944444444331</v>
      </c>
      <c r="J50" s="165">
        <v>-5.2</v>
      </c>
      <c r="K50" s="14">
        <v>-14.3</v>
      </c>
      <c r="L50" s="50">
        <v>-10.511597222222226</v>
      </c>
      <c r="M50" s="66">
        <v>95.4</v>
      </c>
      <c r="N50" s="24">
        <v>43.5</v>
      </c>
      <c r="O50" s="62">
        <v>72.20347222222216</v>
      </c>
      <c r="P50" s="377">
        <v>1026.79743825587</v>
      </c>
      <c r="Q50" s="21">
        <v>1022.9594406062899</v>
      </c>
      <c r="R50" s="387">
        <v>1024.9688162649286</v>
      </c>
      <c r="S50" s="54">
        <v>5.10000000408</v>
      </c>
      <c r="T50" s="47">
        <v>3.2833333359599997</v>
      </c>
      <c r="U50" s="25">
        <v>0.78959243149048264</v>
      </c>
      <c r="V50" s="175" t="s">
        <v>241</v>
      </c>
      <c r="W50" s="198"/>
      <c r="X50" s="26">
        <v>0</v>
      </c>
      <c r="Y50" s="27">
        <v>0</v>
      </c>
      <c r="Z50" s="28">
        <v>0</v>
      </c>
      <c r="AA50" s="396">
        <v>0</v>
      </c>
      <c r="AB50" s="261" t="s">
        <v>252</v>
      </c>
      <c r="AC50" s="200"/>
    </row>
    <row r="51" spans="1:29" s="20" customFormat="1" x14ac:dyDescent="0.3">
      <c r="A51" s="370">
        <v>45706</v>
      </c>
      <c r="B51" s="37">
        <v>-12.6</v>
      </c>
      <c r="C51" s="14">
        <v>1.4</v>
      </c>
      <c r="D51" s="14">
        <v>-8.9</v>
      </c>
      <c r="E51" s="14">
        <v>2.2999999999999998</v>
      </c>
      <c r="F51" s="14">
        <v>-13.8</v>
      </c>
      <c r="G51" s="58">
        <v>0.90000000000000013</v>
      </c>
      <c r="H51" s="58">
        <v>-0.65</v>
      </c>
      <c r="I51" s="60">
        <v>-7.1580958999304887</v>
      </c>
      <c r="J51" s="165">
        <v>-6.7</v>
      </c>
      <c r="K51" s="14">
        <v>-15.4</v>
      </c>
      <c r="L51" s="50">
        <v>-11.448922863099323</v>
      </c>
      <c r="M51" s="66">
        <v>91.6</v>
      </c>
      <c r="N51" s="24">
        <v>45.8</v>
      </c>
      <c r="O51" s="62">
        <v>73.595135510771442</v>
      </c>
      <c r="P51" s="377">
        <v>1031.0338836818</v>
      </c>
      <c r="Q51" s="21">
        <v>1025.4921464423901</v>
      </c>
      <c r="R51" s="387">
        <v>1027.5223671177137</v>
      </c>
      <c r="S51" s="54">
        <v>6.10000000488</v>
      </c>
      <c r="T51" s="47">
        <v>3.9666666698399999</v>
      </c>
      <c r="U51" s="25">
        <v>0.84700483159548079</v>
      </c>
      <c r="V51" s="175" t="s">
        <v>241</v>
      </c>
      <c r="W51" s="198"/>
      <c r="X51" s="26">
        <v>0</v>
      </c>
      <c r="Y51" s="27">
        <v>0</v>
      </c>
      <c r="Z51" s="28">
        <v>0</v>
      </c>
      <c r="AA51" s="396">
        <v>0</v>
      </c>
      <c r="AB51" s="261" t="s">
        <v>215</v>
      </c>
      <c r="AC51" s="200"/>
    </row>
    <row r="52" spans="1:29" s="20" customFormat="1" x14ac:dyDescent="0.3">
      <c r="A52" s="370">
        <v>45707</v>
      </c>
      <c r="B52" s="37">
        <v>-7.1</v>
      </c>
      <c r="C52" s="14">
        <v>3.4</v>
      </c>
      <c r="D52" s="14">
        <v>-6.8</v>
      </c>
      <c r="E52" s="14">
        <v>4</v>
      </c>
      <c r="F52" s="14">
        <v>-10.199999999999999</v>
      </c>
      <c r="G52" s="58">
        <v>1.3000000000000003</v>
      </c>
      <c r="H52" s="58">
        <v>-1.5249999999999999</v>
      </c>
      <c r="I52" s="60">
        <v>-3.8328472222222256</v>
      </c>
      <c r="J52" s="165">
        <v>-4.3</v>
      </c>
      <c r="K52" s="14">
        <v>-12.3</v>
      </c>
      <c r="L52" s="50">
        <v>-8.2849999999999877</v>
      </c>
      <c r="M52" s="66">
        <v>88.9</v>
      </c>
      <c r="N52" s="24">
        <v>47.9</v>
      </c>
      <c r="O52" s="62">
        <v>72.917361111111077</v>
      </c>
      <c r="P52" s="377">
        <v>1034.22207648519</v>
      </c>
      <c r="Q52" s="21">
        <v>1030.4338057625901</v>
      </c>
      <c r="R52" s="383">
        <v>1031.8751272680679</v>
      </c>
      <c r="S52" s="54">
        <v>4.8000000038400001</v>
      </c>
      <c r="T52" s="47">
        <v>3.1900000025519999</v>
      </c>
      <c r="U52" s="25">
        <v>0.5882452333935928</v>
      </c>
      <c r="V52" s="175" t="s">
        <v>241</v>
      </c>
      <c r="W52" s="198" t="s">
        <v>213</v>
      </c>
      <c r="X52" s="26">
        <v>0</v>
      </c>
      <c r="Y52" s="27">
        <v>0</v>
      </c>
      <c r="Z52" s="28">
        <v>0</v>
      </c>
      <c r="AA52" s="396">
        <v>0</v>
      </c>
      <c r="AB52" s="261" t="s">
        <v>253</v>
      </c>
      <c r="AC52" s="200"/>
    </row>
    <row r="53" spans="1:29" s="20" customFormat="1" x14ac:dyDescent="0.3">
      <c r="A53" s="370">
        <v>45708</v>
      </c>
      <c r="B53" s="37">
        <v>-13.4</v>
      </c>
      <c r="C53" s="14">
        <v>4.2</v>
      </c>
      <c r="D53" s="14">
        <v>-6.6</v>
      </c>
      <c r="E53" s="14">
        <v>5.3</v>
      </c>
      <c r="F53" s="14">
        <v>-13.5</v>
      </c>
      <c r="G53" s="58">
        <v>0.79999999999999982</v>
      </c>
      <c r="H53" s="58">
        <v>-2.3000000000000003</v>
      </c>
      <c r="I53" s="60">
        <v>-5.5759555246698991</v>
      </c>
      <c r="J53" s="165">
        <v>-4</v>
      </c>
      <c r="K53" s="14">
        <v>-15.3</v>
      </c>
      <c r="L53" s="50">
        <v>-9.5827658095899704</v>
      </c>
      <c r="M53" s="66">
        <v>93.9</v>
      </c>
      <c r="N53" s="24">
        <v>49.5</v>
      </c>
      <c r="O53" s="62">
        <v>75.108895066017951</v>
      </c>
      <c r="P53" s="377">
        <v>1035.6173123759199</v>
      </c>
      <c r="Q53" s="21">
        <v>1031.8609463202499</v>
      </c>
      <c r="R53" s="383">
        <v>1034.0667431346444</v>
      </c>
      <c r="S53" s="54">
        <v>4.4000000035199998</v>
      </c>
      <c r="T53" s="47">
        <v>2.5300000020239999</v>
      </c>
      <c r="U53" s="25">
        <v>0.64189747378853768</v>
      </c>
      <c r="V53" s="175" t="s">
        <v>241</v>
      </c>
      <c r="W53" s="198" t="s">
        <v>213</v>
      </c>
      <c r="X53" s="26">
        <v>0</v>
      </c>
      <c r="Y53" s="27">
        <v>0</v>
      </c>
      <c r="Z53" s="28">
        <v>0</v>
      </c>
      <c r="AA53" s="396">
        <v>0</v>
      </c>
      <c r="AB53" s="261" t="s">
        <v>252</v>
      </c>
      <c r="AC53" s="200"/>
    </row>
    <row r="54" spans="1:29" s="20" customFormat="1" x14ac:dyDescent="0.3">
      <c r="A54" s="370">
        <v>45709</v>
      </c>
      <c r="B54" s="37">
        <v>-13.3</v>
      </c>
      <c r="C54" s="14">
        <v>3.6</v>
      </c>
      <c r="D54" s="14">
        <v>0</v>
      </c>
      <c r="E54" s="14">
        <v>4.0999999999999996</v>
      </c>
      <c r="F54" s="14">
        <v>-13.4</v>
      </c>
      <c r="G54" s="58">
        <v>3.4000000000000004</v>
      </c>
      <c r="H54" s="58">
        <v>-0.5</v>
      </c>
      <c r="I54" s="60">
        <v>-4.1115972222222164</v>
      </c>
      <c r="J54" s="165">
        <v>-4.7</v>
      </c>
      <c r="K54" s="14">
        <v>-15.2</v>
      </c>
      <c r="L54" s="50">
        <v>-9.1302083333333428</v>
      </c>
      <c r="M54" s="66">
        <v>91.5</v>
      </c>
      <c r="N54" s="24">
        <v>51.5</v>
      </c>
      <c r="O54" s="62">
        <v>69.982569444444351</v>
      </c>
      <c r="P54" s="377">
        <v>1036.88813224929</v>
      </c>
      <c r="Q54" s="21">
        <v>1032.98385894633</v>
      </c>
      <c r="R54" s="383">
        <v>1035.0672373156538</v>
      </c>
      <c r="S54" s="54">
        <v>7.8000000062400003</v>
      </c>
      <c r="T54" s="47">
        <v>5.1933333374880011</v>
      </c>
      <c r="U54" s="25">
        <v>1.513270214616091</v>
      </c>
      <c r="V54" s="175" t="s">
        <v>239</v>
      </c>
      <c r="W54" s="198"/>
      <c r="X54" s="26">
        <v>0</v>
      </c>
      <c r="Y54" s="27">
        <v>0</v>
      </c>
      <c r="Z54" s="28">
        <v>0</v>
      </c>
      <c r="AA54" s="396">
        <v>0</v>
      </c>
      <c r="AB54" s="261" t="s">
        <v>254</v>
      </c>
      <c r="AC54" s="200"/>
    </row>
    <row r="55" spans="1:29" s="20" customFormat="1" x14ac:dyDescent="0.3">
      <c r="A55" s="370">
        <v>45710</v>
      </c>
      <c r="B55" s="37">
        <v>-9.6</v>
      </c>
      <c r="C55" s="14">
        <v>4.5999999999999996</v>
      </c>
      <c r="D55" s="14">
        <v>0.8</v>
      </c>
      <c r="E55" s="14">
        <v>5.0999999999999996</v>
      </c>
      <c r="F55" s="14">
        <v>-9.6</v>
      </c>
      <c r="G55" s="58">
        <v>0.8</v>
      </c>
      <c r="H55" s="58">
        <v>-4.9999999999999989E-2</v>
      </c>
      <c r="I55" s="60">
        <v>-1.8842361111111088</v>
      </c>
      <c r="J55" s="165">
        <v>-4.7</v>
      </c>
      <c r="K55" s="14">
        <v>-11.7</v>
      </c>
      <c r="L55" s="50">
        <v>-7.5811805555555134</v>
      </c>
      <c r="M55" s="66">
        <v>91.4</v>
      </c>
      <c r="N55" s="24">
        <v>47.8</v>
      </c>
      <c r="O55" s="62">
        <v>66.699305555555654</v>
      </c>
      <c r="P55" s="377">
        <v>1034.6278255668601</v>
      </c>
      <c r="Q55" s="21">
        <v>1028.43672797008</v>
      </c>
      <c r="R55" s="383">
        <v>1030.4680299544671</v>
      </c>
      <c r="S55" s="54">
        <v>8.8000000070399995</v>
      </c>
      <c r="T55" s="47">
        <v>5.5933333378079997</v>
      </c>
      <c r="U55" s="25">
        <v>2.2944666020349676</v>
      </c>
      <c r="V55" s="175" t="s">
        <v>239</v>
      </c>
      <c r="W55" s="198"/>
      <c r="X55" s="26">
        <v>0</v>
      </c>
      <c r="Y55" s="27">
        <v>0</v>
      </c>
      <c r="Z55" s="28">
        <v>0</v>
      </c>
      <c r="AA55" s="396">
        <v>0</v>
      </c>
      <c r="AB55" s="261" t="s">
        <v>255</v>
      </c>
      <c r="AC55" s="200"/>
    </row>
    <row r="56" spans="1:29" s="20" customFormat="1" x14ac:dyDescent="0.3">
      <c r="A56" s="370">
        <v>45711</v>
      </c>
      <c r="B56" s="37">
        <v>-6</v>
      </c>
      <c r="C56" s="14">
        <v>6.8</v>
      </c>
      <c r="D56" s="14">
        <v>-1.4</v>
      </c>
      <c r="E56" s="14">
        <v>6.8</v>
      </c>
      <c r="F56" s="14">
        <v>-7.2</v>
      </c>
      <c r="G56" s="58">
        <v>3.8</v>
      </c>
      <c r="H56" s="58">
        <v>1.5249999999999999</v>
      </c>
      <c r="I56" s="60">
        <v>-0.63398193189714847</v>
      </c>
      <c r="J56" s="165">
        <v>-3.8</v>
      </c>
      <c r="K56" s="14">
        <v>-9.4</v>
      </c>
      <c r="L56" s="50">
        <v>-6.1641417651146826</v>
      </c>
      <c r="M56" s="66">
        <v>87.8</v>
      </c>
      <c r="N56" s="24">
        <v>45.1</v>
      </c>
      <c r="O56" s="62">
        <v>67.878735232800452</v>
      </c>
      <c r="P56" s="377">
        <v>1031.1326277294199</v>
      </c>
      <c r="Q56" s="21">
        <v>1027.6963562662399</v>
      </c>
      <c r="R56" s="383">
        <v>1029.6521174010943</v>
      </c>
      <c r="S56" s="54">
        <v>6.8000000054400003</v>
      </c>
      <c r="T56" s="47">
        <v>4.4666666702400004</v>
      </c>
      <c r="U56" s="25">
        <v>1.0357777786063986</v>
      </c>
      <c r="V56" s="175" t="s">
        <v>241</v>
      </c>
      <c r="W56" s="198" t="s">
        <v>216</v>
      </c>
      <c r="X56" s="26">
        <v>6</v>
      </c>
      <c r="Y56" s="27">
        <v>0.7</v>
      </c>
      <c r="Z56" s="28">
        <v>0</v>
      </c>
      <c r="AA56" s="396">
        <v>0</v>
      </c>
      <c r="AB56" s="261" t="s">
        <v>219</v>
      </c>
      <c r="AC56" s="200"/>
    </row>
    <row r="57" spans="1:29" s="20" customFormat="1" x14ac:dyDescent="0.3">
      <c r="A57" s="370">
        <v>45712</v>
      </c>
      <c r="B57" s="37">
        <v>-0.3</v>
      </c>
      <c r="C57" s="14">
        <v>-0.1</v>
      </c>
      <c r="D57" s="14">
        <v>-0.7</v>
      </c>
      <c r="E57" s="14">
        <v>0.5</v>
      </c>
      <c r="F57" s="14">
        <v>-1.1000000000000001</v>
      </c>
      <c r="G57" s="58">
        <v>8</v>
      </c>
      <c r="H57" s="58">
        <v>0.85</v>
      </c>
      <c r="I57" s="60">
        <v>-0.27673611111110846</v>
      </c>
      <c r="J57" s="165">
        <v>-1.3</v>
      </c>
      <c r="K57" s="14">
        <v>-5.4</v>
      </c>
      <c r="L57" s="50">
        <v>-2.7806944444444701</v>
      </c>
      <c r="M57" s="66">
        <v>93.5</v>
      </c>
      <c r="N57" s="24">
        <v>65.2</v>
      </c>
      <c r="O57" s="62">
        <v>83.585624999999695</v>
      </c>
      <c r="P57" s="377">
        <v>1029.5889534437699</v>
      </c>
      <c r="Q57" s="21">
        <v>1025.2227763742201</v>
      </c>
      <c r="R57" s="383">
        <v>1028.1541520550197</v>
      </c>
      <c r="S57" s="54">
        <v>2.0000000016000001</v>
      </c>
      <c r="T57" s="47">
        <v>1.5800000012640001</v>
      </c>
      <c r="U57" s="25">
        <v>0.21434814292457555</v>
      </c>
      <c r="V57" s="175" t="s">
        <v>240</v>
      </c>
      <c r="W57" s="198" t="s">
        <v>221</v>
      </c>
      <c r="X57" s="26">
        <v>12</v>
      </c>
      <c r="Y57" s="27">
        <v>7.6</v>
      </c>
      <c r="Z57" s="28">
        <v>3</v>
      </c>
      <c r="AA57" s="396">
        <v>3</v>
      </c>
      <c r="AB57" s="261" t="s">
        <v>227</v>
      </c>
      <c r="AC57" s="200"/>
    </row>
    <row r="58" spans="1:29" s="20" customFormat="1" x14ac:dyDescent="0.3">
      <c r="A58" s="371">
        <v>45713</v>
      </c>
      <c r="B58" s="37">
        <v>-0.7</v>
      </c>
      <c r="C58" s="14">
        <v>2.2000000000000002</v>
      </c>
      <c r="D58" s="14">
        <v>-1.7</v>
      </c>
      <c r="E58" s="14">
        <v>4.9000000000000004</v>
      </c>
      <c r="F58" s="14">
        <v>-4.5</v>
      </c>
      <c r="G58" s="50">
        <v>6.3</v>
      </c>
      <c r="H58" s="50">
        <v>3.8</v>
      </c>
      <c r="I58" s="60">
        <v>6.5740097289786387E-2</v>
      </c>
      <c r="J58" s="165">
        <v>2.2000000000000002</v>
      </c>
      <c r="K58" s="14">
        <v>-5.4</v>
      </c>
      <c r="L58" s="50">
        <v>-1.1716469770674065</v>
      </c>
      <c r="M58" s="66">
        <v>95.6</v>
      </c>
      <c r="N58" s="24">
        <v>79.7</v>
      </c>
      <c r="O58" s="62">
        <v>91.502362751911051</v>
      </c>
      <c r="P58" s="377">
        <v>1025.3252166996001</v>
      </c>
      <c r="Q58" s="21">
        <v>1019.3293061273901</v>
      </c>
      <c r="R58" s="383">
        <v>1022.3543121748543</v>
      </c>
      <c r="S58" s="54">
        <v>4.1000000032799999</v>
      </c>
      <c r="T58" s="47">
        <v>2.5300000020239999</v>
      </c>
      <c r="U58" s="25">
        <v>0.79113939457230154</v>
      </c>
      <c r="V58" s="175" t="s">
        <v>240</v>
      </c>
      <c r="W58" s="198"/>
      <c r="X58" s="26">
        <v>0</v>
      </c>
      <c r="Y58" s="27">
        <v>0</v>
      </c>
      <c r="Z58" s="28">
        <v>2</v>
      </c>
      <c r="AA58" s="396">
        <v>5</v>
      </c>
      <c r="AB58" s="261" t="s">
        <v>260</v>
      </c>
      <c r="AC58" s="200"/>
    </row>
    <row r="59" spans="1:29" s="20" customFormat="1" x14ac:dyDescent="0.3">
      <c r="A59" s="370">
        <v>45714</v>
      </c>
      <c r="B59" s="37">
        <v>-3.5</v>
      </c>
      <c r="C59" s="14">
        <v>7.3</v>
      </c>
      <c r="D59" s="14">
        <v>0.8</v>
      </c>
      <c r="E59" s="14">
        <v>9.3000000000000007</v>
      </c>
      <c r="F59" s="14">
        <v>-4.7</v>
      </c>
      <c r="G59" s="58">
        <v>5.5</v>
      </c>
      <c r="H59" s="58">
        <v>5.1749999999999998</v>
      </c>
      <c r="I59" s="60">
        <v>0.26972222222222386</v>
      </c>
      <c r="J59" s="165">
        <v>3.8</v>
      </c>
      <c r="K59" s="14">
        <v>-5.5</v>
      </c>
      <c r="L59" s="50">
        <v>-1.3120138888888957</v>
      </c>
      <c r="M59" s="66">
        <v>98.5</v>
      </c>
      <c r="N59" s="24">
        <v>65.8</v>
      </c>
      <c r="O59" s="62">
        <v>89.885069444444539</v>
      </c>
      <c r="P59" s="377">
        <v>1019.76699066872</v>
      </c>
      <c r="Q59" s="21">
        <v>1016.11090279573</v>
      </c>
      <c r="R59" s="383">
        <v>1018.2801497842756</v>
      </c>
      <c r="S59" s="54">
        <v>4.4000000035199998</v>
      </c>
      <c r="T59" s="47">
        <v>3.1600000025279997</v>
      </c>
      <c r="U59" s="25">
        <v>0.45430303066646882</v>
      </c>
      <c r="V59" s="175" t="s">
        <v>241</v>
      </c>
      <c r="W59" s="198" t="s">
        <v>222</v>
      </c>
      <c r="X59" s="26">
        <v>0</v>
      </c>
      <c r="Y59" s="27">
        <v>0</v>
      </c>
      <c r="Z59" s="28">
        <v>0</v>
      </c>
      <c r="AA59" s="396">
        <v>2</v>
      </c>
      <c r="AB59" s="261" t="s">
        <v>261</v>
      </c>
      <c r="AC59" s="200"/>
    </row>
    <row r="60" spans="1:29" s="20" customFormat="1" x14ac:dyDescent="0.3">
      <c r="A60" s="371">
        <v>45715</v>
      </c>
      <c r="B60" s="37">
        <v>1.2</v>
      </c>
      <c r="C60" s="14">
        <v>6.7</v>
      </c>
      <c r="D60" s="14">
        <v>2</v>
      </c>
      <c r="E60" s="14">
        <v>6.9</v>
      </c>
      <c r="F60" s="14">
        <v>1</v>
      </c>
      <c r="G60" s="14">
        <v>8.7999999999999989</v>
      </c>
      <c r="H60" s="14">
        <v>6.0749999999999993</v>
      </c>
      <c r="I60" s="60">
        <v>3.1423905489923412</v>
      </c>
      <c r="J60" s="165">
        <v>4.3</v>
      </c>
      <c r="K60" s="14">
        <v>-0.1</v>
      </c>
      <c r="L60" s="50">
        <v>1.6505211952745031</v>
      </c>
      <c r="M60" s="66">
        <v>95</v>
      </c>
      <c r="N60" s="24">
        <v>82</v>
      </c>
      <c r="O60" s="62">
        <v>90.048019457956755</v>
      </c>
      <c r="P60" s="377">
        <v>1018.93585362584</v>
      </c>
      <c r="Q60" s="21">
        <v>1015.7989225197</v>
      </c>
      <c r="R60" s="383">
        <v>1017.5101615987435</v>
      </c>
      <c r="S60" s="54">
        <v>2.4000000019200001</v>
      </c>
      <c r="T60" s="25">
        <v>1.685000001348</v>
      </c>
      <c r="U60" s="25">
        <v>0.17720445750610561</v>
      </c>
      <c r="V60" s="175" t="s">
        <v>240</v>
      </c>
      <c r="W60" s="198" t="s">
        <v>224</v>
      </c>
      <c r="X60" s="26">
        <v>12</v>
      </c>
      <c r="Y60" s="27">
        <v>7.7</v>
      </c>
      <c r="Z60" s="28">
        <v>0</v>
      </c>
      <c r="AA60" s="396">
        <v>0</v>
      </c>
      <c r="AB60" s="261" t="s">
        <v>214</v>
      </c>
      <c r="AC60" s="200"/>
    </row>
    <row r="61" spans="1:29" s="362" customFormat="1" ht="15" thickBot="1" x14ac:dyDescent="0.35">
      <c r="A61" s="371">
        <v>45716</v>
      </c>
      <c r="B61" s="38">
        <v>2.2000000000000002</v>
      </c>
      <c r="C61" s="22">
        <v>9.1999999999999993</v>
      </c>
      <c r="D61" s="22">
        <v>4.0999999999999996</v>
      </c>
      <c r="E61" s="22">
        <v>9.6</v>
      </c>
      <c r="F61" s="22">
        <v>1.8</v>
      </c>
      <c r="G61" s="22">
        <v>3.5</v>
      </c>
      <c r="H61" s="22">
        <v>10.725000000000001</v>
      </c>
      <c r="I61" s="61">
        <v>4.3913888888889083</v>
      </c>
      <c r="J61" s="166">
        <v>7</v>
      </c>
      <c r="K61" s="22">
        <v>1.1000000000000001</v>
      </c>
      <c r="L61" s="256">
        <v>3.0950694444444311</v>
      </c>
      <c r="M61" s="67">
        <v>98.2</v>
      </c>
      <c r="N61" s="52">
        <v>76.5</v>
      </c>
      <c r="O61" s="63">
        <v>91.634166666666331</v>
      </c>
      <c r="P61" s="381">
        <v>1022.8039834930401</v>
      </c>
      <c r="Q61" s="53">
        <v>1015.16681885124</v>
      </c>
      <c r="R61" s="388">
        <v>1018.4486706034426</v>
      </c>
      <c r="S61" s="56">
        <v>5.10000000408</v>
      </c>
      <c r="T61" s="39">
        <v>2.5600000020479996</v>
      </c>
      <c r="U61" s="39">
        <v>0.47993222018544252</v>
      </c>
      <c r="V61" s="176" t="s">
        <v>241</v>
      </c>
      <c r="W61" s="199" t="s">
        <v>224</v>
      </c>
      <c r="X61" s="40">
        <v>6</v>
      </c>
      <c r="Y61" s="41">
        <v>0.4</v>
      </c>
      <c r="Z61" s="42">
        <v>0</v>
      </c>
      <c r="AA61" s="399">
        <v>0</v>
      </c>
      <c r="AB61" s="262" t="s">
        <v>256</v>
      </c>
      <c r="AC61" s="404"/>
    </row>
    <row r="62" spans="1:29" s="326" customFormat="1" x14ac:dyDescent="0.3">
      <c r="A62" s="370">
        <v>45717</v>
      </c>
      <c r="B62" s="57">
        <v>-0.5</v>
      </c>
      <c r="C62" s="29">
        <v>8.9</v>
      </c>
      <c r="D62" s="29">
        <v>2.6</v>
      </c>
      <c r="E62" s="29">
        <v>10</v>
      </c>
      <c r="F62" s="29">
        <v>-0.5</v>
      </c>
      <c r="G62" s="58">
        <f t="shared" ref="G62:G92" si="2">E62-F62</f>
        <v>10.5</v>
      </c>
      <c r="H62" s="58">
        <f>(B62+C62+2*D62)/4</f>
        <v>3.4000000000000004</v>
      </c>
      <c r="I62" s="65">
        <v>3.8093815149409407</v>
      </c>
      <c r="J62" s="366">
        <v>5.4</v>
      </c>
      <c r="K62" s="29">
        <v>-1.3</v>
      </c>
      <c r="L62" s="58">
        <v>1.0949270326615732</v>
      </c>
      <c r="M62" s="90">
        <v>98.8</v>
      </c>
      <c r="N62" s="30">
        <v>59.6</v>
      </c>
      <c r="O62" s="87">
        <v>83.646351633078496</v>
      </c>
      <c r="P62" s="376">
        <v>1027.4348460029501</v>
      </c>
      <c r="Q62" s="31">
        <v>1022.4208087299201</v>
      </c>
      <c r="R62" s="382">
        <v>1024.2617821940983</v>
      </c>
      <c r="S62" s="89">
        <v>5.8000000046400002</v>
      </c>
      <c r="T62" s="32">
        <v>3.5833333362000004</v>
      </c>
      <c r="U62" s="32">
        <v>0.73477575816357688</v>
      </c>
      <c r="V62" s="174" t="s">
        <v>241</v>
      </c>
      <c r="W62" s="363" t="s">
        <v>257</v>
      </c>
      <c r="X62" s="84">
        <v>0</v>
      </c>
      <c r="Y62" s="85">
        <v>0</v>
      </c>
      <c r="Z62" s="86">
        <v>0</v>
      </c>
      <c r="AA62" s="393">
        <v>0</v>
      </c>
      <c r="AB62" s="259" t="s">
        <v>258</v>
      </c>
      <c r="AC62" s="401"/>
    </row>
    <row r="63" spans="1:29" s="20" customFormat="1" x14ac:dyDescent="0.3">
      <c r="A63" s="370">
        <v>45718</v>
      </c>
      <c r="B63" s="37">
        <v>1.9</v>
      </c>
      <c r="C63" s="14">
        <v>6.3</v>
      </c>
      <c r="D63" s="14">
        <v>-1.6</v>
      </c>
      <c r="E63" s="14">
        <v>7.9</v>
      </c>
      <c r="F63" s="14">
        <v>-2.2000000000000002</v>
      </c>
      <c r="G63" s="58">
        <f t="shared" si="2"/>
        <v>10.100000000000001</v>
      </c>
      <c r="H63" s="58">
        <f t="shared" ref="H63:H90" si="3">(B63+C63+2*D63)/4</f>
        <v>1.2499999999999998</v>
      </c>
      <c r="I63" s="60">
        <v>2.3435211267605691</v>
      </c>
      <c r="J63" s="165">
        <v>1.7</v>
      </c>
      <c r="K63" s="14">
        <v>-4.0999999999999996</v>
      </c>
      <c r="L63" s="50">
        <v>-0.61866197183098559</v>
      </c>
      <c r="M63" s="66">
        <v>92.8</v>
      </c>
      <c r="N63" s="24">
        <v>62.5</v>
      </c>
      <c r="O63" s="62">
        <v>81.282535211267614</v>
      </c>
      <c r="P63" s="377">
        <v>1029.1181743616401</v>
      </c>
      <c r="Q63" s="21">
        <v>1026.5937199534901</v>
      </c>
      <c r="R63" s="383">
        <v>1027.7945346474532</v>
      </c>
      <c r="S63" s="54">
        <v>6.8000000054400003</v>
      </c>
      <c r="T63" s="47">
        <v>3.6266666695680003</v>
      </c>
      <c r="U63" s="25">
        <v>1.0233891433859412</v>
      </c>
      <c r="V63" s="175" t="s">
        <v>241</v>
      </c>
      <c r="W63" s="196"/>
      <c r="X63" s="16">
        <v>0</v>
      </c>
      <c r="Y63" s="17">
        <v>0</v>
      </c>
      <c r="Z63" s="18">
        <v>0</v>
      </c>
      <c r="AA63" s="394">
        <v>0</v>
      </c>
      <c r="AB63" s="260" t="s">
        <v>238</v>
      </c>
      <c r="AC63" s="200"/>
    </row>
    <row r="64" spans="1:29" s="20" customFormat="1" x14ac:dyDescent="0.3">
      <c r="A64" s="370">
        <v>45719</v>
      </c>
      <c r="B64" s="37">
        <v>0</v>
      </c>
      <c r="C64" s="14">
        <v>10.1</v>
      </c>
      <c r="D64" s="14">
        <v>-0.1</v>
      </c>
      <c r="E64" s="14">
        <v>12</v>
      </c>
      <c r="F64" s="14">
        <v>-3.2</v>
      </c>
      <c r="G64" s="58">
        <f t="shared" si="2"/>
        <v>15.2</v>
      </c>
      <c r="H64" s="58">
        <f t="shared" si="3"/>
        <v>2.4750000000000001</v>
      </c>
      <c r="I64" s="60">
        <v>3.245972222222222</v>
      </c>
      <c r="J64" s="165">
        <v>3.5</v>
      </c>
      <c r="K64" s="14">
        <v>-4.3</v>
      </c>
      <c r="L64" s="50">
        <v>-3.9097222222223268E-2</v>
      </c>
      <c r="M64" s="66">
        <v>94.8</v>
      </c>
      <c r="N64" s="24">
        <v>54.2</v>
      </c>
      <c r="O64" s="62">
        <v>80.802708333333214</v>
      </c>
      <c r="P64" s="377">
        <v>1028.6548789133999</v>
      </c>
      <c r="Q64" s="21">
        <v>1024.20855289062</v>
      </c>
      <c r="R64" s="383">
        <v>1026.8128529766709</v>
      </c>
      <c r="S64" s="54">
        <v>4.8000000038400001</v>
      </c>
      <c r="T64" s="47">
        <v>3.3633333360239996</v>
      </c>
      <c r="U64" s="25">
        <v>0.72658549018045104</v>
      </c>
      <c r="V64" s="175" t="s">
        <v>241</v>
      </c>
      <c r="W64" s="196"/>
      <c r="X64" s="16">
        <v>0</v>
      </c>
      <c r="Y64" s="17">
        <v>0</v>
      </c>
      <c r="Z64" s="18">
        <v>0</v>
      </c>
      <c r="AA64" s="394">
        <v>0</v>
      </c>
      <c r="AB64" s="260" t="s">
        <v>215</v>
      </c>
      <c r="AC64" s="200"/>
    </row>
    <row r="65" spans="1:29" s="20" customFormat="1" x14ac:dyDescent="0.3">
      <c r="A65" s="370">
        <v>45720</v>
      </c>
      <c r="B65" s="37">
        <v>-4.8</v>
      </c>
      <c r="C65" s="14">
        <v>10.9</v>
      </c>
      <c r="D65" s="14">
        <v>-0.1</v>
      </c>
      <c r="E65" s="14">
        <v>11.7</v>
      </c>
      <c r="F65" s="14">
        <v>-5</v>
      </c>
      <c r="G65" s="58">
        <f t="shared" si="2"/>
        <v>16.7</v>
      </c>
      <c r="H65" s="58">
        <f t="shared" si="3"/>
        <v>1.4750000000000001</v>
      </c>
      <c r="I65" s="60">
        <v>1.6491313412091702</v>
      </c>
      <c r="J65" s="165">
        <v>4.7</v>
      </c>
      <c r="K65" s="14">
        <v>-6.1</v>
      </c>
      <c r="L65" s="50">
        <v>-1.0593467685893014</v>
      </c>
      <c r="M65" s="66">
        <v>97.1</v>
      </c>
      <c r="N65" s="24">
        <v>61.1</v>
      </c>
      <c r="O65" s="62">
        <v>83.648992355802704</v>
      </c>
      <c r="P65" s="377">
        <v>1028.6548789133999</v>
      </c>
      <c r="Q65" s="21">
        <v>1023.71211400948</v>
      </c>
      <c r="R65" s="383">
        <v>1026.5463667050537</v>
      </c>
      <c r="S65" s="55">
        <v>4.4000000035199998</v>
      </c>
      <c r="T65" s="48">
        <v>3.0666666691200009</v>
      </c>
      <c r="U65" s="19">
        <v>0.87861131412847671</v>
      </c>
      <c r="V65" s="175" t="s">
        <v>241</v>
      </c>
      <c r="W65" s="197"/>
      <c r="X65" s="16">
        <v>0</v>
      </c>
      <c r="Y65" s="17">
        <v>0</v>
      </c>
      <c r="Z65" s="18">
        <v>0</v>
      </c>
      <c r="AA65" s="394">
        <v>0</v>
      </c>
      <c r="AB65" s="260" t="s">
        <v>237</v>
      </c>
      <c r="AC65" s="200"/>
    </row>
    <row r="66" spans="1:29" s="20" customFormat="1" x14ac:dyDescent="0.3">
      <c r="A66" s="370">
        <v>45721</v>
      </c>
      <c r="B66" s="37">
        <v>-3.3</v>
      </c>
      <c r="C66" s="14">
        <v>12.3</v>
      </c>
      <c r="D66" s="14">
        <v>1</v>
      </c>
      <c r="E66" s="14">
        <v>12.8</v>
      </c>
      <c r="F66" s="14">
        <v>-4.9000000000000004</v>
      </c>
      <c r="G66" s="58">
        <f t="shared" si="2"/>
        <v>17.700000000000003</v>
      </c>
      <c r="H66" s="58">
        <f t="shared" si="3"/>
        <v>2.75</v>
      </c>
      <c r="I66" s="60">
        <v>2.4565972222222245</v>
      </c>
      <c r="J66" s="165">
        <v>5.4</v>
      </c>
      <c r="K66" s="14">
        <v>-5.9</v>
      </c>
      <c r="L66" s="50">
        <v>-0.47576388888889348</v>
      </c>
      <c r="M66" s="66">
        <v>97.8</v>
      </c>
      <c r="N66" s="24">
        <v>57.1</v>
      </c>
      <c r="O66" s="62">
        <v>82.845694444444433</v>
      </c>
      <c r="P66" s="377">
        <v>1029.9603275137999</v>
      </c>
      <c r="Q66" s="21">
        <v>1025.0115196960001</v>
      </c>
      <c r="R66" s="383">
        <v>1027.5588297605984</v>
      </c>
      <c r="S66" s="54">
        <v>7.1000000056800001</v>
      </c>
      <c r="T66" s="47">
        <v>4.6433333370480003</v>
      </c>
      <c r="U66" s="25">
        <v>1.1151382832792971</v>
      </c>
      <c r="V66" s="175" t="s">
        <v>241</v>
      </c>
      <c r="W66" s="197"/>
      <c r="X66" s="16">
        <v>0</v>
      </c>
      <c r="Y66" s="17">
        <v>0</v>
      </c>
      <c r="Z66" s="18">
        <v>0</v>
      </c>
      <c r="AA66" s="394">
        <v>0</v>
      </c>
      <c r="AB66" s="260" t="s">
        <v>262</v>
      </c>
      <c r="AC66" s="200"/>
    </row>
    <row r="67" spans="1:29" s="20" customFormat="1" x14ac:dyDescent="0.3">
      <c r="A67" s="370">
        <v>45722</v>
      </c>
      <c r="B67" s="37">
        <v>-4.8</v>
      </c>
      <c r="C67" s="14">
        <v>15.9</v>
      </c>
      <c r="D67" s="14">
        <v>5.6</v>
      </c>
      <c r="E67" s="14">
        <v>16.7</v>
      </c>
      <c r="F67" s="14">
        <v>-4.9000000000000004</v>
      </c>
      <c r="G67" s="58">
        <f t="shared" si="2"/>
        <v>21.6</v>
      </c>
      <c r="H67" s="58">
        <f t="shared" si="3"/>
        <v>5.5750000000000002</v>
      </c>
      <c r="I67" s="60">
        <v>5.0250868658790839</v>
      </c>
      <c r="J67" s="165">
        <v>6.6</v>
      </c>
      <c r="K67" s="14">
        <v>-5.9</v>
      </c>
      <c r="L67" s="50">
        <v>0.37824878387769156</v>
      </c>
      <c r="M67" s="66">
        <v>96.8</v>
      </c>
      <c r="N67" s="24">
        <v>47.6</v>
      </c>
      <c r="O67" s="62">
        <v>75.05496872828374</v>
      </c>
      <c r="P67" s="377">
        <v>1029.39064753153</v>
      </c>
      <c r="Q67" s="21">
        <v>1022.90739953057</v>
      </c>
      <c r="R67" s="383">
        <v>1026.4514617862555</v>
      </c>
      <c r="S67" s="54">
        <v>9.5000000076000006</v>
      </c>
      <c r="T67" s="47">
        <v>5.9566666714319991</v>
      </c>
      <c r="U67" s="25">
        <v>1.3756103467615974</v>
      </c>
      <c r="V67" s="175" t="s">
        <v>241</v>
      </c>
      <c r="W67" s="197"/>
      <c r="X67" s="16">
        <v>0</v>
      </c>
      <c r="Y67" s="17">
        <v>0</v>
      </c>
      <c r="Z67" s="18">
        <v>0</v>
      </c>
      <c r="AA67" s="394">
        <v>0</v>
      </c>
      <c r="AB67" s="260" t="s">
        <v>263</v>
      </c>
      <c r="AC67" s="200"/>
    </row>
    <row r="68" spans="1:29" s="20" customFormat="1" x14ac:dyDescent="0.3">
      <c r="A68" s="370">
        <v>45723</v>
      </c>
      <c r="B68" s="37">
        <v>-3.4</v>
      </c>
      <c r="C68" s="14">
        <v>18.3</v>
      </c>
      <c r="D68" s="14">
        <v>5.5</v>
      </c>
      <c r="E68" s="14">
        <v>19.600000000000001</v>
      </c>
      <c r="F68" s="14">
        <v>-3.5</v>
      </c>
      <c r="G68" s="58">
        <f t="shared" si="2"/>
        <v>23.1</v>
      </c>
      <c r="H68" s="58">
        <f t="shared" si="3"/>
        <v>6.4749999999999996</v>
      </c>
      <c r="I68" s="60">
        <v>5.8543749999999983</v>
      </c>
      <c r="J68" s="165">
        <v>5.8</v>
      </c>
      <c r="K68" s="14">
        <v>-4.9000000000000004</v>
      </c>
      <c r="L68" s="50">
        <v>0.10020833333333611</v>
      </c>
      <c r="M68" s="66">
        <v>93.6</v>
      </c>
      <c r="N68" s="24">
        <v>34.6</v>
      </c>
      <c r="O68" s="62">
        <v>70.36263888888908</v>
      </c>
      <c r="P68" s="377">
        <v>1026.0471590499801</v>
      </c>
      <c r="Q68" s="21">
        <v>1018.64626234873</v>
      </c>
      <c r="R68" s="383">
        <v>1022.3749871005709</v>
      </c>
      <c r="S68" s="54">
        <v>3.70000000296</v>
      </c>
      <c r="T68" s="47">
        <v>2.5600000020479996</v>
      </c>
      <c r="U68" s="25">
        <v>0.61161946308914716</v>
      </c>
      <c r="V68" s="175" t="s">
        <v>241</v>
      </c>
      <c r="W68" s="197"/>
      <c r="X68" s="16">
        <v>0</v>
      </c>
      <c r="Y68" s="17">
        <v>0</v>
      </c>
      <c r="Z68" s="18">
        <v>0</v>
      </c>
      <c r="AA68" s="394">
        <v>0</v>
      </c>
      <c r="AB68" s="260" t="s">
        <v>238</v>
      </c>
      <c r="AC68" s="200"/>
    </row>
    <row r="69" spans="1:29" s="20" customFormat="1" x14ac:dyDescent="0.3">
      <c r="A69" s="370">
        <v>45724</v>
      </c>
      <c r="B69" s="37">
        <v>-3.8</v>
      </c>
      <c r="C69" s="14">
        <v>20.6</v>
      </c>
      <c r="D69" s="14">
        <v>3.5</v>
      </c>
      <c r="E69" s="14">
        <v>21.3</v>
      </c>
      <c r="F69" s="14">
        <v>-3.8</v>
      </c>
      <c r="G69" s="58">
        <f t="shared" si="2"/>
        <v>25.1</v>
      </c>
      <c r="H69" s="58">
        <f t="shared" si="3"/>
        <v>5.95</v>
      </c>
      <c r="I69" s="60">
        <v>6.598679638637952</v>
      </c>
      <c r="J69" s="165">
        <v>5.7</v>
      </c>
      <c r="K69" s="14">
        <v>-5.3</v>
      </c>
      <c r="L69" s="50">
        <v>-0.11598332175121558</v>
      </c>
      <c r="M69" s="66">
        <v>92.9</v>
      </c>
      <c r="N69" s="24">
        <v>32.9</v>
      </c>
      <c r="O69" s="62">
        <v>67.066851980542111</v>
      </c>
      <c r="P69" s="377">
        <v>1020.57364718476</v>
      </c>
      <c r="Q69" s="21">
        <v>1012.8573320384299</v>
      </c>
      <c r="R69" s="383">
        <v>1016.7362531160338</v>
      </c>
      <c r="S69" s="54">
        <v>3.1000000024799998</v>
      </c>
      <c r="T69" s="47">
        <v>1.690000001352</v>
      </c>
      <c r="U69" s="25">
        <v>0.6089575762447379</v>
      </c>
      <c r="V69" s="175" t="s">
        <v>241</v>
      </c>
      <c r="W69" s="197"/>
      <c r="X69" s="16">
        <v>0</v>
      </c>
      <c r="Y69" s="17">
        <v>0</v>
      </c>
      <c r="Z69" s="18">
        <v>0</v>
      </c>
      <c r="AA69" s="394">
        <v>0</v>
      </c>
      <c r="AB69" s="260" t="s">
        <v>246</v>
      </c>
      <c r="AC69" s="200"/>
    </row>
    <row r="70" spans="1:29" s="20" customFormat="1" x14ac:dyDescent="0.3">
      <c r="A70" s="370">
        <v>45725</v>
      </c>
      <c r="B70" s="37">
        <v>-4</v>
      </c>
      <c r="C70" s="14">
        <v>18.100000000000001</v>
      </c>
      <c r="D70" s="14">
        <v>5.0999999999999996</v>
      </c>
      <c r="E70" s="14">
        <v>19.7</v>
      </c>
      <c r="F70" s="14">
        <v>-4.0999999999999996</v>
      </c>
      <c r="G70" s="58">
        <f t="shared" si="2"/>
        <v>23.799999999999997</v>
      </c>
      <c r="H70" s="58">
        <f t="shared" si="3"/>
        <v>6.0750000000000002</v>
      </c>
      <c r="I70" s="60">
        <v>6.083194444444449</v>
      </c>
      <c r="J70" s="165">
        <v>5.4</v>
      </c>
      <c r="K70" s="14">
        <v>-5.9</v>
      </c>
      <c r="L70" s="50">
        <v>-0.71166666666666367</v>
      </c>
      <c r="M70" s="66">
        <v>93.7</v>
      </c>
      <c r="N70" s="24">
        <v>34.700000000000003</v>
      </c>
      <c r="O70" s="62">
        <v>66.321666666666729</v>
      </c>
      <c r="P70" s="377">
        <v>1015.64201333108</v>
      </c>
      <c r="Q70" s="21">
        <v>1008.50457835263</v>
      </c>
      <c r="R70" s="383">
        <v>1011.94214819762</v>
      </c>
      <c r="S70" s="54">
        <v>7.5000000059999996</v>
      </c>
      <c r="T70" s="47">
        <v>4.0466666699040008</v>
      </c>
      <c r="U70" s="25">
        <v>1.0537801940797353</v>
      </c>
      <c r="V70" s="175" t="s">
        <v>241</v>
      </c>
      <c r="W70" s="197"/>
      <c r="X70" s="16">
        <v>0</v>
      </c>
      <c r="Y70" s="17">
        <v>0</v>
      </c>
      <c r="Z70" s="18">
        <v>0</v>
      </c>
      <c r="AA70" s="394">
        <v>0</v>
      </c>
      <c r="AB70" s="260" t="s">
        <v>238</v>
      </c>
      <c r="AC70" s="200"/>
    </row>
    <row r="71" spans="1:29" s="20" customFormat="1" x14ac:dyDescent="0.3">
      <c r="A71" s="370">
        <v>45726</v>
      </c>
      <c r="B71" s="37">
        <v>-1.7</v>
      </c>
      <c r="C71" s="14">
        <v>17.5</v>
      </c>
      <c r="D71" s="14">
        <v>16</v>
      </c>
      <c r="E71" s="14">
        <v>18.100000000000001</v>
      </c>
      <c r="F71" s="14">
        <v>-2.2000000000000002</v>
      </c>
      <c r="G71" s="58">
        <f t="shared" si="2"/>
        <v>20.3</v>
      </c>
      <c r="H71" s="58">
        <f t="shared" si="3"/>
        <v>11.95</v>
      </c>
      <c r="I71" s="60">
        <v>9.5067407922168154</v>
      </c>
      <c r="J71" s="165">
        <v>7.1</v>
      </c>
      <c r="K71" s="14">
        <v>-3.8</v>
      </c>
      <c r="L71" s="50">
        <v>2.1573314801945784</v>
      </c>
      <c r="M71" s="66">
        <v>95</v>
      </c>
      <c r="N71" s="24">
        <v>43.5</v>
      </c>
      <c r="O71" s="62">
        <v>63.683252258512837</v>
      </c>
      <c r="P71" s="377">
        <v>1009.54940659152</v>
      </c>
      <c r="Q71" s="21">
        <v>1001.19362280301</v>
      </c>
      <c r="R71" s="383">
        <v>1004.9332409188421</v>
      </c>
      <c r="S71" s="54">
        <v>12.900000010319999</v>
      </c>
      <c r="T71" s="47">
        <v>8.4100000067280014</v>
      </c>
      <c r="U71" s="25">
        <v>3.4669533809834889</v>
      </c>
      <c r="V71" s="175" t="s">
        <v>239</v>
      </c>
      <c r="W71" s="197" t="s">
        <v>222</v>
      </c>
      <c r="X71" s="16">
        <v>0</v>
      </c>
      <c r="Y71" s="17">
        <v>0</v>
      </c>
      <c r="Z71" s="18">
        <v>0</v>
      </c>
      <c r="AA71" s="394">
        <v>0</v>
      </c>
      <c r="AB71" s="260" t="s">
        <v>238</v>
      </c>
      <c r="AC71" s="200"/>
    </row>
    <row r="72" spans="1:29" s="20" customFormat="1" x14ac:dyDescent="0.3">
      <c r="A72" s="370">
        <v>45727</v>
      </c>
      <c r="B72" s="37">
        <v>9.8000000000000007</v>
      </c>
      <c r="C72" s="14">
        <v>14.9</v>
      </c>
      <c r="D72" s="14">
        <v>8.8000000000000007</v>
      </c>
      <c r="E72" s="14">
        <v>14.9</v>
      </c>
      <c r="F72" s="14">
        <v>5.8</v>
      </c>
      <c r="G72" s="58">
        <f t="shared" si="2"/>
        <v>9.1000000000000014</v>
      </c>
      <c r="H72" s="58">
        <f t="shared" si="3"/>
        <v>10.575000000000001</v>
      </c>
      <c r="I72" s="60">
        <v>11.729930555555502</v>
      </c>
      <c r="J72" s="165">
        <v>7.9</v>
      </c>
      <c r="K72" s="14">
        <v>4.5999999999999996</v>
      </c>
      <c r="L72" s="50">
        <v>6.7983333333333125</v>
      </c>
      <c r="M72" s="66">
        <v>92.3</v>
      </c>
      <c r="N72" s="24">
        <v>57.5</v>
      </c>
      <c r="O72" s="62">
        <v>72.457499999999854</v>
      </c>
      <c r="P72" s="377">
        <v>1003.70910061196</v>
      </c>
      <c r="Q72" s="21">
        <v>999.34492756887403</v>
      </c>
      <c r="R72" s="383">
        <v>1001.7555882649513</v>
      </c>
      <c r="S72" s="54">
        <v>9.5000000076000006</v>
      </c>
      <c r="T72" s="47">
        <v>6.1550000049240001</v>
      </c>
      <c r="U72" s="25">
        <v>3.189691499918204</v>
      </c>
      <c r="V72" s="175" t="s">
        <v>239</v>
      </c>
      <c r="W72" s="197" t="s">
        <v>224</v>
      </c>
      <c r="X72" s="16">
        <v>12</v>
      </c>
      <c r="Y72" s="17">
        <v>3</v>
      </c>
      <c r="Z72" s="18">
        <v>0</v>
      </c>
      <c r="AA72" s="394">
        <v>0</v>
      </c>
      <c r="AB72" s="260" t="s">
        <v>219</v>
      </c>
      <c r="AC72" s="200"/>
    </row>
    <row r="73" spans="1:29" s="20" customFormat="1" x14ac:dyDescent="0.3">
      <c r="A73" s="370">
        <v>45728</v>
      </c>
      <c r="B73" s="37">
        <v>8</v>
      </c>
      <c r="C73" s="14">
        <v>14.5</v>
      </c>
      <c r="D73" s="14">
        <v>10.9</v>
      </c>
      <c r="E73" s="14">
        <v>15.6</v>
      </c>
      <c r="F73" s="14">
        <v>5.8</v>
      </c>
      <c r="G73" s="58">
        <f t="shared" si="2"/>
        <v>9.8000000000000007</v>
      </c>
      <c r="H73" s="58">
        <f t="shared" si="3"/>
        <v>11.074999999999999</v>
      </c>
      <c r="I73" s="60">
        <v>9.9288194444444215</v>
      </c>
      <c r="J73" s="165">
        <v>10.1</v>
      </c>
      <c r="K73" s="14">
        <v>4.7</v>
      </c>
      <c r="L73" s="50">
        <v>7.825486111111112</v>
      </c>
      <c r="M73" s="66">
        <v>96.1</v>
      </c>
      <c r="N73" s="24">
        <v>66.7</v>
      </c>
      <c r="O73" s="62">
        <v>87.461319444444342</v>
      </c>
      <c r="P73" s="377">
        <v>1003.48127857218</v>
      </c>
      <c r="Q73" s="21">
        <v>999.09965952274695</v>
      </c>
      <c r="R73" s="383">
        <v>1001.5756171551898</v>
      </c>
      <c r="S73" s="54">
        <v>8.2000000065599998</v>
      </c>
      <c r="T73" s="47">
        <v>6.1666666715999998</v>
      </c>
      <c r="U73" s="25">
        <v>1.8090695386905093</v>
      </c>
      <c r="V73" s="175" t="s">
        <v>239</v>
      </c>
      <c r="W73" s="197" t="s">
        <v>224</v>
      </c>
      <c r="X73" s="16">
        <v>48</v>
      </c>
      <c r="Y73" s="17">
        <v>5</v>
      </c>
      <c r="Z73" s="18">
        <v>0</v>
      </c>
      <c r="AA73" s="394">
        <v>0</v>
      </c>
      <c r="AB73" s="260" t="s">
        <v>219</v>
      </c>
      <c r="AC73" s="200"/>
    </row>
    <row r="74" spans="1:29" s="20" customFormat="1" x14ac:dyDescent="0.3">
      <c r="A74" s="370">
        <v>45729</v>
      </c>
      <c r="B74" s="37">
        <v>8</v>
      </c>
      <c r="C74" s="14">
        <v>14.6</v>
      </c>
      <c r="D74" s="14">
        <v>11.2</v>
      </c>
      <c r="E74" s="14">
        <v>14.9</v>
      </c>
      <c r="F74" s="14">
        <v>4.9000000000000004</v>
      </c>
      <c r="G74" s="58">
        <f t="shared" si="2"/>
        <v>10</v>
      </c>
      <c r="H74" s="58">
        <f t="shared" si="3"/>
        <v>11.25</v>
      </c>
      <c r="I74" s="60">
        <v>9.4599722029187383</v>
      </c>
      <c r="J74" s="165">
        <v>11.2</v>
      </c>
      <c r="K74" s="14">
        <v>3.4</v>
      </c>
      <c r="L74" s="50">
        <v>7.5966643502432181</v>
      </c>
      <c r="M74" s="66">
        <v>97.8</v>
      </c>
      <c r="N74" s="24">
        <v>72.400000000000006</v>
      </c>
      <c r="O74" s="62">
        <v>88.724113968033208</v>
      </c>
      <c r="P74" s="377">
        <v>1000.9893164194</v>
      </c>
      <c r="Q74" s="21">
        <v>989.46731202017497</v>
      </c>
      <c r="R74" s="383">
        <v>994.09894767772823</v>
      </c>
      <c r="S74" s="54">
        <v>13.900000011119999</v>
      </c>
      <c r="T74" s="47">
        <v>8.7866666736960006</v>
      </c>
      <c r="U74" s="25">
        <v>2.2058190790067456</v>
      </c>
      <c r="V74" s="175" t="s">
        <v>240</v>
      </c>
      <c r="W74" s="198" t="s">
        <v>224</v>
      </c>
      <c r="X74" s="26">
        <v>30</v>
      </c>
      <c r="Y74" s="27">
        <v>10</v>
      </c>
      <c r="Z74" s="28">
        <v>0</v>
      </c>
      <c r="AA74" s="396">
        <v>0</v>
      </c>
      <c r="AB74" s="261" t="s">
        <v>265</v>
      </c>
      <c r="AC74" s="200"/>
    </row>
    <row r="75" spans="1:29" s="20" customFormat="1" x14ac:dyDescent="0.3">
      <c r="A75" s="370">
        <v>45730</v>
      </c>
      <c r="B75" s="37">
        <v>1.9</v>
      </c>
      <c r="C75" s="14">
        <v>11.1</v>
      </c>
      <c r="D75" s="14">
        <v>10.199999999999999</v>
      </c>
      <c r="E75" s="14">
        <v>12.2</v>
      </c>
      <c r="F75" s="14">
        <v>1.9</v>
      </c>
      <c r="G75" s="58">
        <f t="shared" si="2"/>
        <v>10.299999999999999</v>
      </c>
      <c r="H75" s="58">
        <f t="shared" si="3"/>
        <v>8.35</v>
      </c>
      <c r="I75" s="60">
        <v>7.7339583333333142</v>
      </c>
      <c r="J75" s="165">
        <v>9.6999999999999993</v>
      </c>
      <c r="K75" s="14">
        <v>1.2</v>
      </c>
      <c r="L75" s="50">
        <v>6.3018749999999857</v>
      </c>
      <c r="M75" s="66">
        <v>97.3</v>
      </c>
      <c r="N75" s="24">
        <v>80.2</v>
      </c>
      <c r="O75" s="62">
        <v>90.873333333333321</v>
      </c>
      <c r="P75" s="377">
        <v>1006.86000341585</v>
      </c>
      <c r="Q75" s="21">
        <v>1000.88692389522</v>
      </c>
      <c r="R75" s="383">
        <v>1003.7357687265384</v>
      </c>
      <c r="S75" s="54">
        <v>7.8000000062400003</v>
      </c>
      <c r="T75" s="47">
        <v>4.7233333371119999</v>
      </c>
      <c r="U75" s="25">
        <v>1.0519985473532303</v>
      </c>
      <c r="V75" s="175" t="s">
        <v>241</v>
      </c>
      <c r="W75" s="198" t="s">
        <v>224</v>
      </c>
      <c r="X75" s="26">
        <v>18</v>
      </c>
      <c r="Y75" s="27">
        <v>13</v>
      </c>
      <c r="Z75" s="28">
        <v>0</v>
      </c>
      <c r="AA75" s="396">
        <v>0</v>
      </c>
      <c r="AB75" s="260" t="s">
        <v>264</v>
      </c>
      <c r="AC75" s="200"/>
    </row>
    <row r="76" spans="1:29" s="20" customFormat="1" x14ac:dyDescent="0.3">
      <c r="A76" s="370">
        <v>45731</v>
      </c>
      <c r="B76" s="37">
        <v>2.2999999999999998</v>
      </c>
      <c r="C76" s="14">
        <v>2.4</v>
      </c>
      <c r="D76" s="14">
        <v>1.4</v>
      </c>
      <c r="E76" s="14">
        <v>5.6</v>
      </c>
      <c r="F76" s="14">
        <v>0.6</v>
      </c>
      <c r="G76" s="58">
        <f t="shared" si="2"/>
        <v>5</v>
      </c>
      <c r="H76" s="58">
        <f t="shared" si="3"/>
        <v>1.8749999999999998</v>
      </c>
      <c r="I76" s="60">
        <v>2.0479499652536433</v>
      </c>
      <c r="J76" s="165">
        <v>5</v>
      </c>
      <c r="K76" s="14">
        <v>-0.7</v>
      </c>
      <c r="L76" s="50">
        <v>1.3499652536483595</v>
      </c>
      <c r="M76" s="66">
        <v>99.2</v>
      </c>
      <c r="N76" s="24">
        <v>89.2</v>
      </c>
      <c r="O76" s="62">
        <v>95.139054899235319</v>
      </c>
      <c r="P76" s="377">
        <v>1015.95429058142</v>
      </c>
      <c r="Q76" s="21">
        <v>1006.6722116501099</v>
      </c>
      <c r="R76" s="383">
        <v>1012.7486748331469</v>
      </c>
      <c r="S76" s="54">
        <v>7.1000000056800001</v>
      </c>
      <c r="T76" s="47">
        <v>4.0500000032399992</v>
      </c>
      <c r="U76" s="25">
        <v>2.3295189523009268</v>
      </c>
      <c r="V76" s="175" t="s">
        <v>242</v>
      </c>
      <c r="W76" s="198" t="s">
        <v>220</v>
      </c>
      <c r="X76" s="26">
        <v>12</v>
      </c>
      <c r="Y76" s="27">
        <v>7.3</v>
      </c>
      <c r="Z76" s="28">
        <v>0</v>
      </c>
      <c r="AA76" s="396">
        <v>0</v>
      </c>
      <c r="AB76" s="261" t="s">
        <v>218</v>
      </c>
      <c r="AC76" s="200"/>
    </row>
    <row r="77" spans="1:29" s="20" customFormat="1" x14ac:dyDescent="0.3">
      <c r="A77" s="370">
        <v>45732</v>
      </c>
      <c r="B77" s="37">
        <v>0.7</v>
      </c>
      <c r="C77" s="14">
        <v>2.8</v>
      </c>
      <c r="D77" s="14">
        <v>-1.3</v>
      </c>
      <c r="E77" s="14">
        <v>2.9</v>
      </c>
      <c r="F77" s="14">
        <v>-3.9</v>
      </c>
      <c r="G77" s="58">
        <f t="shared" si="2"/>
        <v>6.8</v>
      </c>
      <c r="H77" s="58">
        <f t="shared" si="3"/>
        <v>0.22499999999999998</v>
      </c>
      <c r="I77" s="60">
        <v>0.86562500000000042</v>
      </c>
      <c r="J77" s="165">
        <v>0.7</v>
      </c>
      <c r="K77" s="14">
        <v>-5</v>
      </c>
      <c r="L77" s="50">
        <v>-0.86791666666666634</v>
      </c>
      <c r="M77" s="66">
        <v>93.3</v>
      </c>
      <c r="N77" s="24">
        <v>83.9</v>
      </c>
      <c r="O77" s="62">
        <v>88.194444444444471</v>
      </c>
      <c r="P77" s="377">
        <v>1015.468713693</v>
      </c>
      <c r="Q77" s="21">
        <v>1013.38193818601</v>
      </c>
      <c r="R77" s="383">
        <v>1014.3029107246666</v>
      </c>
      <c r="S77" s="54">
        <v>8.2000000065599998</v>
      </c>
      <c r="T77" s="47">
        <v>6.0150000048120003</v>
      </c>
      <c r="U77" s="25">
        <v>1.9577138013718061</v>
      </c>
      <c r="V77" s="175" t="s">
        <v>242</v>
      </c>
      <c r="W77" s="198" t="s">
        <v>213</v>
      </c>
      <c r="X77" s="26">
        <v>0</v>
      </c>
      <c r="Y77" s="27">
        <v>0</v>
      </c>
      <c r="Z77" s="28">
        <v>0</v>
      </c>
      <c r="AA77" s="396">
        <v>0</v>
      </c>
      <c r="AB77" s="261" t="s">
        <v>219</v>
      </c>
      <c r="AC77" s="200"/>
    </row>
    <row r="78" spans="1:29" s="20" customFormat="1" x14ac:dyDescent="0.3">
      <c r="A78" s="370">
        <v>45733</v>
      </c>
      <c r="B78" s="37">
        <v>-3.5</v>
      </c>
      <c r="C78" s="14">
        <v>4.0999999999999996</v>
      </c>
      <c r="D78" s="14">
        <v>-1.8</v>
      </c>
      <c r="E78" s="14">
        <v>5.7</v>
      </c>
      <c r="F78" s="14">
        <v>-5.5</v>
      </c>
      <c r="G78" s="58">
        <f t="shared" si="2"/>
        <v>11.2</v>
      </c>
      <c r="H78" s="58">
        <f t="shared" si="3"/>
        <v>-0.75000000000000011</v>
      </c>
      <c r="I78" s="60">
        <v>-0.69604166666667278</v>
      </c>
      <c r="J78" s="165">
        <v>1.2</v>
      </c>
      <c r="K78" s="14">
        <v>-8.8000000000000007</v>
      </c>
      <c r="L78" s="50">
        <v>-4.6262500000000149</v>
      </c>
      <c r="M78" s="66">
        <v>99.4</v>
      </c>
      <c r="N78" s="24">
        <v>51.4</v>
      </c>
      <c r="O78" s="62">
        <v>76.634305555555699</v>
      </c>
      <c r="P78" s="377">
        <v>1026.6895664211499</v>
      </c>
      <c r="Q78" s="21">
        <v>1012.5109027411</v>
      </c>
      <c r="R78" s="383">
        <v>1018.1808274001643</v>
      </c>
      <c r="S78" s="54">
        <v>13.600000010880001</v>
      </c>
      <c r="T78" s="47">
        <v>7.2366666724560007</v>
      </c>
      <c r="U78" s="25">
        <v>2.248161676987225</v>
      </c>
      <c r="V78" s="175" t="s">
        <v>241</v>
      </c>
      <c r="W78" s="198" t="s">
        <v>213</v>
      </c>
      <c r="X78" s="26">
        <v>0</v>
      </c>
      <c r="Y78" s="27">
        <v>0</v>
      </c>
      <c r="Z78" s="28">
        <v>0</v>
      </c>
      <c r="AA78" s="396">
        <v>0</v>
      </c>
      <c r="AB78" s="261" t="s">
        <v>274</v>
      </c>
      <c r="AC78" s="200"/>
    </row>
    <row r="79" spans="1:29" s="20" customFormat="1" x14ac:dyDescent="0.3">
      <c r="A79" s="370">
        <v>45734</v>
      </c>
      <c r="B79" s="37">
        <v>-8.1999999999999993</v>
      </c>
      <c r="C79" s="14">
        <v>7.1</v>
      </c>
      <c r="D79" s="14">
        <v>-2.8</v>
      </c>
      <c r="E79" s="14">
        <v>7.6</v>
      </c>
      <c r="F79" s="14">
        <v>-8.5</v>
      </c>
      <c r="G79" s="58">
        <f t="shared" si="2"/>
        <v>16.100000000000001</v>
      </c>
      <c r="H79" s="58">
        <f t="shared" si="3"/>
        <v>-1.6749999999999998</v>
      </c>
      <c r="I79" s="60">
        <v>-0.34002779708130804</v>
      </c>
      <c r="J79" s="165">
        <v>-3.2</v>
      </c>
      <c r="K79" s="14">
        <v>-10.9</v>
      </c>
      <c r="L79" s="50">
        <v>-7.046977067407898</v>
      </c>
      <c r="M79" s="66">
        <v>91.3</v>
      </c>
      <c r="N79" s="24">
        <v>38.200000000000003</v>
      </c>
      <c r="O79" s="62">
        <v>62.941417651146594</v>
      </c>
      <c r="P79" s="377">
        <v>1031.7450970913701</v>
      </c>
      <c r="Q79" s="21">
        <v>1026.5963284939201</v>
      </c>
      <c r="R79" s="383">
        <v>1029.6568564269867</v>
      </c>
      <c r="S79" s="54">
        <v>8.5000000068000006</v>
      </c>
      <c r="T79" s="47">
        <v>3.9733333365119998</v>
      </c>
      <c r="U79" s="25">
        <v>1.1750364440887229</v>
      </c>
      <c r="V79" s="175" t="s">
        <v>241</v>
      </c>
      <c r="W79" s="198"/>
      <c r="X79" s="26">
        <v>0</v>
      </c>
      <c r="Y79" s="27">
        <v>0</v>
      </c>
      <c r="Z79" s="28">
        <v>0</v>
      </c>
      <c r="AA79" s="396">
        <v>0</v>
      </c>
      <c r="AB79" s="261" t="s">
        <v>248</v>
      </c>
      <c r="AC79" s="200"/>
    </row>
    <row r="80" spans="1:29" s="20" customFormat="1" x14ac:dyDescent="0.3">
      <c r="A80" s="370">
        <v>45735</v>
      </c>
      <c r="B80" s="37">
        <v>-7.2</v>
      </c>
      <c r="C80" s="14">
        <v>9.8000000000000007</v>
      </c>
      <c r="D80" s="14">
        <v>-0.8</v>
      </c>
      <c r="E80" s="14">
        <v>11</v>
      </c>
      <c r="F80" s="14">
        <v>-7.7</v>
      </c>
      <c r="G80" s="58">
        <f t="shared" si="2"/>
        <v>18.7</v>
      </c>
      <c r="H80" s="58">
        <f t="shared" si="3"/>
        <v>0.25000000000000011</v>
      </c>
      <c r="I80" s="60">
        <v>1.0499652536483755</v>
      </c>
      <c r="J80" s="165">
        <v>-1</v>
      </c>
      <c r="K80" s="14">
        <v>-9</v>
      </c>
      <c r="L80" s="50">
        <v>-4.7806810284920012</v>
      </c>
      <c r="M80" s="66">
        <v>95.5</v>
      </c>
      <c r="N80" s="24">
        <v>41.3</v>
      </c>
      <c r="O80" s="62">
        <v>68.416052814454432</v>
      </c>
      <c r="P80" s="377">
        <v>1033.2499253608</v>
      </c>
      <c r="Q80" s="21">
        <v>1028.62494958961</v>
      </c>
      <c r="R80" s="383">
        <v>1031.0798672901535</v>
      </c>
      <c r="S80" s="54">
        <v>4.4000000035199998</v>
      </c>
      <c r="T80" s="47">
        <v>2.7500000022000002</v>
      </c>
      <c r="U80" s="25">
        <v>0.93864628896052327</v>
      </c>
      <c r="V80" s="175" t="s">
        <v>241</v>
      </c>
      <c r="W80" s="198"/>
      <c r="X80" s="26">
        <v>0</v>
      </c>
      <c r="Y80" s="27">
        <v>0</v>
      </c>
      <c r="Z80" s="28">
        <v>0</v>
      </c>
      <c r="AA80" s="396">
        <v>0</v>
      </c>
      <c r="AB80" s="261" t="s">
        <v>275</v>
      </c>
      <c r="AC80" s="200"/>
    </row>
    <row r="81" spans="1:29" s="20" customFormat="1" x14ac:dyDescent="0.3">
      <c r="A81" s="370">
        <v>45736</v>
      </c>
      <c r="B81" s="37">
        <v>-6.4</v>
      </c>
      <c r="C81" s="14">
        <v>11.9</v>
      </c>
      <c r="D81" s="14">
        <v>2.4</v>
      </c>
      <c r="E81" s="14">
        <v>12.3</v>
      </c>
      <c r="F81" s="14">
        <v>-7</v>
      </c>
      <c r="G81" s="58">
        <f t="shared" si="2"/>
        <v>19.3</v>
      </c>
      <c r="H81" s="58">
        <f t="shared" si="3"/>
        <v>2.5750000000000002</v>
      </c>
      <c r="I81" s="60">
        <v>2.9568749999999979</v>
      </c>
      <c r="J81" s="165">
        <v>0.7</v>
      </c>
      <c r="K81" s="14">
        <v>-8.4</v>
      </c>
      <c r="L81" s="50">
        <v>-3.3456249999999965</v>
      </c>
      <c r="M81" s="66">
        <v>94.1</v>
      </c>
      <c r="N81" s="24">
        <v>41.4</v>
      </c>
      <c r="O81" s="62">
        <v>66.564444444444391</v>
      </c>
      <c r="P81" s="377">
        <v>1032.4871284363801</v>
      </c>
      <c r="Q81" s="21">
        <v>1025.8614795757801</v>
      </c>
      <c r="R81" s="383">
        <v>1029.3264096087769</v>
      </c>
      <c r="S81" s="54">
        <v>9.5000000076000006</v>
      </c>
      <c r="T81" s="47">
        <v>5.7266666712479992</v>
      </c>
      <c r="U81" s="25">
        <v>1.9766423373477335</v>
      </c>
      <c r="V81" s="175" t="s">
        <v>241</v>
      </c>
      <c r="W81" s="198"/>
      <c r="X81" s="26">
        <v>0</v>
      </c>
      <c r="Y81" s="27">
        <v>0</v>
      </c>
      <c r="Z81" s="28">
        <v>0</v>
      </c>
      <c r="AA81" s="396">
        <v>0</v>
      </c>
      <c r="AB81" s="261" t="s">
        <v>275</v>
      </c>
      <c r="AC81" s="200"/>
    </row>
    <row r="82" spans="1:29" s="20" customFormat="1" x14ac:dyDescent="0.3">
      <c r="A82" s="370">
        <v>45737</v>
      </c>
      <c r="B82" s="37">
        <v>-5.3</v>
      </c>
      <c r="C82" s="14">
        <v>14.3</v>
      </c>
      <c r="D82" s="14">
        <v>2.2999999999999998</v>
      </c>
      <c r="E82" s="14">
        <v>14.7</v>
      </c>
      <c r="F82" s="14">
        <v>-6.1</v>
      </c>
      <c r="G82" s="58">
        <f t="shared" si="2"/>
        <v>20.799999999999997</v>
      </c>
      <c r="H82" s="58">
        <f t="shared" si="3"/>
        <v>3.4</v>
      </c>
      <c r="I82" s="60">
        <v>3.9943015983321719</v>
      </c>
      <c r="J82" s="165">
        <v>2.2999999999999998</v>
      </c>
      <c r="K82" s="14">
        <v>-7.7</v>
      </c>
      <c r="L82" s="50">
        <v>-2.0961779013203539</v>
      </c>
      <c r="M82" s="66">
        <v>93.2</v>
      </c>
      <c r="N82" s="24">
        <v>40.6</v>
      </c>
      <c r="O82" s="62">
        <v>67.782904794996512</v>
      </c>
      <c r="P82" s="377">
        <v>1027.8536608122699</v>
      </c>
      <c r="Q82" s="21">
        <v>1019.7633087331</v>
      </c>
      <c r="R82" s="383">
        <v>1023.8682860529921</v>
      </c>
      <c r="S82" s="54">
        <v>6.5000000052000004</v>
      </c>
      <c r="T82" s="47">
        <v>4.2833333367600002</v>
      </c>
      <c r="U82" s="25">
        <v>1.206034275645012</v>
      </c>
      <c r="V82" s="175" t="s">
        <v>241</v>
      </c>
      <c r="W82" s="198"/>
      <c r="X82" s="26">
        <v>0</v>
      </c>
      <c r="Y82" s="27">
        <v>0</v>
      </c>
      <c r="Z82" s="28">
        <v>0</v>
      </c>
      <c r="AA82" s="396">
        <v>0</v>
      </c>
      <c r="AB82" s="261" t="s">
        <v>248</v>
      </c>
      <c r="AC82" s="200"/>
    </row>
    <row r="83" spans="1:29" s="20" customFormat="1" x14ac:dyDescent="0.3">
      <c r="A83" s="370">
        <v>45738</v>
      </c>
      <c r="B83" s="37">
        <v>-4</v>
      </c>
      <c r="C83" s="14">
        <v>15.7</v>
      </c>
      <c r="D83" s="14">
        <v>11.2</v>
      </c>
      <c r="E83" s="14">
        <v>16</v>
      </c>
      <c r="F83" s="14">
        <v>-5.0999999999999996</v>
      </c>
      <c r="G83" s="58">
        <f t="shared" si="2"/>
        <v>21.1</v>
      </c>
      <c r="H83" s="58">
        <f t="shared" si="3"/>
        <v>8.5249999999999986</v>
      </c>
      <c r="I83" s="60">
        <v>6.5555555555555669</v>
      </c>
      <c r="J83" s="165">
        <v>5.7</v>
      </c>
      <c r="K83" s="14">
        <v>-6.9</v>
      </c>
      <c r="L83" s="50">
        <v>-0.13548611111110948</v>
      </c>
      <c r="M83" s="66">
        <v>93.1</v>
      </c>
      <c r="N83" s="24">
        <v>36.1</v>
      </c>
      <c r="O83" s="62">
        <v>66.122430555555624</v>
      </c>
      <c r="P83" s="377">
        <v>1020.81476705415</v>
      </c>
      <c r="Q83" s="21">
        <v>1012.94522420217</v>
      </c>
      <c r="R83" s="383">
        <v>1016.2347992084499</v>
      </c>
      <c r="S83" s="54">
        <v>8.5000000068000006</v>
      </c>
      <c r="T83" s="47">
        <v>5.4066666709919993</v>
      </c>
      <c r="U83" s="25">
        <v>1.5169460653534987</v>
      </c>
      <c r="V83" s="175" t="s">
        <v>239</v>
      </c>
      <c r="W83" s="200" t="s">
        <v>224</v>
      </c>
      <c r="X83" s="26">
        <v>6</v>
      </c>
      <c r="Y83" s="27">
        <v>1</v>
      </c>
      <c r="Z83" s="28">
        <v>0</v>
      </c>
      <c r="AA83" s="396">
        <v>0</v>
      </c>
      <c r="AB83" s="261" t="s">
        <v>276</v>
      </c>
      <c r="AC83" s="200"/>
    </row>
    <row r="84" spans="1:29" s="20" customFormat="1" x14ac:dyDescent="0.3">
      <c r="A84" s="370">
        <v>45739</v>
      </c>
      <c r="B84" s="37">
        <v>7.5</v>
      </c>
      <c r="C84" s="14">
        <v>9.6999999999999993</v>
      </c>
      <c r="D84" s="14">
        <v>10.1</v>
      </c>
      <c r="E84" s="14">
        <v>10.7</v>
      </c>
      <c r="F84" s="14">
        <v>7.3</v>
      </c>
      <c r="G84" s="58">
        <f t="shared" si="2"/>
        <v>3.3999999999999995</v>
      </c>
      <c r="H84" s="58">
        <f t="shared" si="3"/>
        <v>9.35</v>
      </c>
      <c r="I84" s="60">
        <v>9.0448227936066896</v>
      </c>
      <c r="J84" s="165">
        <v>8.6999999999999993</v>
      </c>
      <c r="K84" s="14">
        <v>5.7</v>
      </c>
      <c r="L84" s="50">
        <v>7.1735927727588837</v>
      </c>
      <c r="M84" s="66">
        <v>92.2</v>
      </c>
      <c r="N84" s="24">
        <v>84.4</v>
      </c>
      <c r="O84" s="62">
        <v>88.086448922863141</v>
      </c>
      <c r="P84" s="377">
        <v>1014.80394553718</v>
      </c>
      <c r="Q84" s="21">
        <v>1009.99878763908</v>
      </c>
      <c r="R84" s="383">
        <v>1012.5619177639545</v>
      </c>
      <c r="S84" s="54">
        <v>8.5000000068000006</v>
      </c>
      <c r="T84" s="47">
        <v>5.8916666713799994</v>
      </c>
      <c r="U84" s="25">
        <v>2.5478924438987787</v>
      </c>
      <c r="V84" s="175" t="s">
        <v>239</v>
      </c>
      <c r="W84" s="198" t="s">
        <v>224</v>
      </c>
      <c r="X84" s="26">
        <v>18</v>
      </c>
      <c r="Y84" s="27">
        <v>2.2999999999999998</v>
      </c>
      <c r="Z84" s="28">
        <v>0</v>
      </c>
      <c r="AA84" s="396">
        <v>0</v>
      </c>
      <c r="AB84" s="261" t="s">
        <v>236</v>
      </c>
      <c r="AC84" s="200"/>
    </row>
    <row r="85" spans="1:29" s="20" customFormat="1" x14ac:dyDescent="0.3">
      <c r="A85" s="370">
        <v>45740</v>
      </c>
      <c r="B85" s="37">
        <v>8.6999999999999993</v>
      </c>
      <c r="C85" s="14">
        <v>11.5</v>
      </c>
      <c r="D85" s="14">
        <v>9.9</v>
      </c>
      <c r="E85" s="14">
        <v>12.1</v>
      </c>
      <c r="F85" s="14">
        <v>8.6999999999999993</v>
      </c>
      <c r="G85" s="58">
        <f t="shared" si="2"/>
        <v>3.4000000000000004</v>
      </c>
      <c r="H85" s="58">
        <f t="shared" si="3"/>
        <v>10</v>
      </c>
      <c r="I85" s="60">
        <v>10.381111111111169</v>
      </c>
      <c r="J85" s="165">
        <v>9.6999999999999993</v>
      </c>
      <c r="K85" s="14">
        <v>7.6</v>
      </c>
      <c r="L85" s="50">
        <v>8.749027777777826</v>
      </c>
      <c r="M85" s="66">
        <v>94.5</v>
      </c>
      <c r="N85" s="24">
        <v>84.4</v>
      </c>
      <c r="O85" s="62">
        <v>89.667916666666727</v>
      </c>
      <c r="P85" s="377">
        <v>1013.44124108057</v>
      </c>
      <c r="Q85" s="21">
        <v>1008.95710054019</v>
      </c>
      <c r="R85" s="383">
        <v>1010.9366295798243</v>
      </c>
      <c r="S85" s="54">
        <v>7.5000000059999996</v>
      </c>
      <c r="T85" s="47">
        <v>5.1500000041199998</v>
      </c>
      <c r="U85" s="25">
        <v>1.2232518242304151</v>
      </c>
      <c r="V85" s="175" t="s">
        <v>239</v>
      </c>
      <c r="W85" s="198" t="s">
        <v>224</v>
      </c>
      <c r="X85" s="26">
        <v>6</v>
      </c>
      <c r="Y85" s="27">
        <v>0.3</v>
      </c>
      <c r="Z85" s="28">
        <v>0</v>
      </c>
      <c r="AA85" s="396">
        <v>0</v>
      </c>
      <c r="AB85" s="261" t="s">
        <v>218</v>
      </c>
      <c r="AC85" s="200"/>
    </row>
    <row r="86" spans="1:29" s="20" customFormat="1" x14ac:dyDescent="0.3">
      <c r="A86" s="370">
        <v>45741</v>
      </c>
      <c r="B86" s="37">
        <v>8.1999999999999993</v>
      </c>
      <c r="C86" s="14">
        <v>12.9</v>
      </c>
      <c r="D86" s="14">
        <v>7.6</v>
      </c>
      <c r="E86" s="14">
        <v>13.4</v>
      </c>
      <c r="F86" s="14">
        <v>3.6</v>
      </c>
      <c r="G86" s="58">
        <f t="shared" si="2"/>
        <v>9.8000000000000007</v>
      </c>
      <c r="H86" s="58">
        <f t="shared" si="3"/>
        <v>9.0749999999999993</v>
      </c>
      <c r="I86" s="60">
        <v>9.8773611111111101</v>
      </c>
      <c r="J86" s="165">
        <v>9.6999999999999993</v>
      </c>
      <c r="K86" s="14">
        <v>2.2000000000000002</v>
      </c>
      <c r="L86" s="50">
        <v>7.5059722222222298</v>
      </c>
      <c r="M86" s="66">
        <v>96.8</v>
      </c>
      <c r="N86" s="24">
        <v>72</v>
      </c>
      <c r="O86" s="62">
        <v>85.707916666666719</v>
      </c>
      <c r="P86" s="377">
        <v>1017.42288111952</v>
      </c>
      <c r="Q86" s="21">
        <v>1013.13416869159</v>
      </c>
      <c r="R86" s="383">
        <v>1015.902334828687</v>
      </c>
      <c r="S86" s="54">
        <v>5.8000000046400002</v>
      </c>
      <c r="T86" s="47">
        <v>3.9466666698240003</v>
      </c>
      <c r="U86" s="25">
        <v>1.0390663703211047</v>
      </c>
      <c r="V86" s="175" t="s">
        <v>241</v>
      </c>
      <c r="W86" s="198"/>
      <c r="X86" s="26">
        <v>0</v>
      </c>
      <c r="Y86" s="27">
        <v>0</v>
      </c>
      <c r="Z86" s="28">
        <v>0</v>
      </c>
      <c r="AA86" s="396">
        <v>0</v>
      </c>
      <c r="AB86" s="261" t="s">
        <v>219</v>
      </c>
      <c r="AC86" s="200"/>
    </row>
    <row r="87" spans="1:29" s="20" customFormat="1" x14ac:dyDescent="0.3">
      <c r="A87" s="370">
        <v>45742</v>
      </c>
      <c r="B87" s="37">
        <v>3.1</v>
      </c>
      <c r="C87" s="14">
        <v>19.399999999999999</v>
      </c>
      <c r="D87" s="14">
        <v>7.9</v>
      </c>
      <c r="E87" s="14">
        <v>20</v>
      </c>
      <c r="F87" s="14">
        <v>2.2999999999999998</v>
      </c>
      <c r="G87" s="58">
        <f t="shared" si="2"/>
        <v>17.7</v>
      </c>
      <c r="H87" s="58">
        <f t="shared" si="3"/>
        <v>9.5749999999999993</v>
      </c>
      <c r="I87" s="60">
        <v>8.9660875608061037</v>
      </c>
      <c r="J87" s="165">
        <v>10.4</v>
      </c>
      <c r="K87" s="14">
        <v>1</v>
      </c>
      <c r="L87" s="50">
        <v>4.5308547602501745</v>
      </c>
      <c r="M87" s="66">
        <v>98.3</v>
      </c>
      <c r="N87" s="24">
        <v>42.4</v>
      </c>
      <c r="O87" s="62">
        <v>77.018485059068752</v>
      </c>
      <c r="P87" s="377">
        <v>1017.7816903855201</v>
      </c>
      <c r="Q87" s="21">
        <v>1012.25778598944</v>
      </c>
      <c r="R87" s="383">
        <v>1015.3460259440734</v>
      </c>
      <c r="S87" s="54">
        <v>4.4000000035199998</v>
      </c>
      <c r="T87" s="47">
        <v>2.5700000020560001</v>
      </c>
      <c r="U87" s="25">
        <v>0.60403967150403159</v>
      </c>
      <c r="V87" s="175" t="s">
        <v>241</v>
      </c>
      <c r="W87" s="198"/>
      <c r="X87" s="26">
        <v>0</v>
      </c>
      <c r="Y87" s="27">
        <v>0</v>
      </c>
      <c r="Z87" s="28">
        <v>0</v>
      </c>
      <c r="AA87" s="396">
        <v>0</v>
      </c>
      <c r="AB87" s="261" t="s">
        <v>277</v>
      </c>
      <c r="AC87" s="200"/>
    </row>
    <row r="88" spans="1:29" s="20" customFormat="1" x14ac:dyDescent="0.3">
      <c r="A88" s="370">
        <v>45743</v>
      </c>
      <c r="B88" s="37">
        <v>6.9</v>
      </c>
      <c r="C88" s="14">
        <v>12.7</v>
      </c>
      <c r="D88" s="14">
        <v>6.4</v>
      </c>
      <c r="E88" s="14">
        <v>13.5</v>
      </c>
      <c r="F88" s="14">
        <v>0.5</v>
      </c>
      <c r="G88" s="58">
        <f t="shared" si="2"/>
        <v>13</v>
      </c>
      <c r="H88" s="58">
        <f t="shared" si="3"/>
        <v>8.1000000000000014</v>
      </c>
      <c r="I88" s="60">
        <v>7.5927083333333494</v>
      </c>
      <c r="J88" s="165">
        <v>8</v>
      </c>
      <c r="K88" s="14">
        <v>-1</v>
      </c>
      <c r="L88" s="50">
        <v>4.5925694444444494</v>
      </c>
      <c r="M88" s="66">
        <v>97.3</v>
      </c>
      <c r="N88" s="24">
        <v>65.599999999999994</v>
      </c>
      <c r="O88" s="62">
        <v>81.944097222222325</v>
      </c>
      <c r="P88" s="377">
        <v>1017.40572035218</v>
      </c>
      <c r="Q88" s="21">
        <v>1015.06836959319</v>
      </c>
      <c r="R88" s="383">
        <v>1016.2422627797789</v>
      </c>
      <c r="S88" s="54">
        <v>9.9000000079199992</v>
      </c>
      <c r="T88" s="47">
        <v>6.7033333386960008</v>
      </c>
      <c r="U88" s="25">
        <v>2.1548877642148474</v>
      </c>
      <c r="V88" s="175" t="s">
        <v>242</v>
      </c>
      <c r="W88" s="198"/>
      <c r="X88" s="26">
        <v>0</v>
      </c>
      <c r="Y88" s="27">
        <v>0</v>
      </c>
      <c r="Z88" s="28">
        <v>0</v>
      </c>
      <c r="AA88" s="396">
        <v>0</v>
      </c>
      <c r="AB88" s="261" t="s">
        <v>278</v>
      </c>
      <c r="AC88" s="200"/>
    </row>
    <row r="89" spans="1:29" s="20" customFormat="1" x14ac:dyDescent="0.3">
      <c r="A89" s="370">
        <v>45744</v>
      </c>
      <c r="B89" s="37">
        <v>4.2</v>
      </c>
      <c r="C89" s="14">
        <v>16.2</v>
      </c>
      <c r="D89" s="14">
        <v>10.199999999999999</v>
      </c>
      <c r="E89" s="14">
        <v>17.3</v>
      </c>
      <c r="F89" s="14">
        <v>1.8</v>
      </c>
      <c r="G89" s="58">
        <f t="shared" si="2"/>
        <v>15.5</v>
      </c>
      <c r="H89" s="58">
        <f t="shared" si="3"/>
        <v>10.199999999999999</v>
      </c>
      <c r="I89" s="60">
        <v>10.185208333333321</v>
      </c>
      <c r="J89" s="165">
        <v>10.1</v>
      </c>
      <c r="K89" s="14">
        <v>0.3</v>
      </c>
      <c r="L89" s="50">
        <v>6.2325000000000301</v>
      </c>
      <c r="M89" s="66">
        <v>96.2</v>
      </c>
      <c r="N89" s="24">
        <v>60.4</v>
      </c>
      <c r="O89" s="62">
        <v>77.574027777777872</v>
      </c>
      <c r="P89" s="377">
        <v>1016.6553726195</v>
      </c>
      <c r="Q89" s="21">
        <v>1007.57104974109</v>
      </c>
      <c r="R89" s="383">
        <v>1011.3642529774625</v>
      </c>
      <c r="S89" s="54">
        <v>6.8000000054400003</v>
      </c>
      <c r="T89" s="47">
        <v>4.0366666698959994</v>
      </c>
      <c r="U89" s="25">
        <v>1.5543420428496575</v>
      </c>
      <c r="V89" s="175" t="s">
        <v>242</v>
      </c>
      <c r="W89" s="198"/>
      <c r="X89" s="26">
        <v>0</v>
      </c>
      <c r="Y89" s="27">
        <v>0</v>
      </c>
      <c r="Z89" s="28">
        <v>0</v>
      </c>
      <c r="AA89" s="396">
        <v>0</v>
      </c>
      <c r="AB89" s="261" t="s">
        <v>219</v>
      </c>
      <c r="AC89" s="200"/>
    </row>
    <row r="90" spans="1:29" s="20" customFormat="1" x14ac:dyDescent="0.3">
      <c r="A90" s="370">
        <v>45745</v>
      </c>
      <c r="B90" s="37">
        <v>6</v>
      </c>
      <c r="C90" s="14">
        <v>13.2</v>
      </c>
      <c r="D90" s="14">
        <v>8.6999999999999993</v>
      </c>
      <c r="E90" s="14">
        <v>13.6</v>
      </c>
      <c r="F90" s="14">
        <v>5.2</v>
      </c>
      <c r="G90" s="58">
        <f t="shared" si="2"/>
        <v>8.3999999999999986</v>
      </c>
      <c r="H90" s="58">
        <f t="shared" si="3"/>
        <v>9.1499999999999986</v>
      </c>
      <c r="I90" s="60">
        <v>9.1567060458651834</v>
      </c>
      <c r="J90" s="165">
        <v>9.6</v>
      </c>
      <c r="K90" s="14">
        <v>4</v>
      </c>
      <c r="L90" s="50">
        <v>6.5065323141070017</v>
      </c>
      <c r="M90" s="66">
        <v>95.1</v>
      </c>
      <c r="N90" s="24">
        <v>71.2</v>
      </c>
      <c r="O90" s="62">
        <v>83.908130646282032</v>
      </c>
      <c r="P90" s="377">
        <v>1009.45372024574</v>
      </c>
      <c r="Q90" s="21">
        <v>1006.97937363495</v>
      </c>
      <c r="R90" s="383">
        <v>1007.7932353472028</v>
      </c>
      <c r="S90" s="54">
        <v>7.1000000056800001</v>
      </c>
      <c r="T90" s="47">
        <v>4.726666670448</v>
      </c>
      <c r="U90" s="25">
        <v>0.95314465485057154</v>
      </c>
      <c r="V90" s="175" t="s">
        <v>241</v>
      </c>
      <c r="W90" s="198"/>
      <c r="X90" s="26">
        <v>0</v>
      </c>
      <c r="Y90" s="27">
        <v>0</v>
      </c>
      <c r="Z90" s="28">
        <v>0</v>
      </c>
      <c r="AA90" s="396">
        <v>0</v>
      </c>
      <c r="AB90" s="261" t="s">
        <v>219</v>
      </c>
      <c r="AC90" s="200"/>
    </row>
    <row r="91" spans="1:29" s="20" customFormat="1" x14ac:dyDescent="0.3">
      <c r="A91" s="370">
        <v>45746</v>
      </c>
      <c r="B91" s="37">
        <v>3.9</v>
      </c>
      <c r="C91" s="14">
        <v>14.9</v>
      </c>
      <c r="D91" s="14">
        <v>9.3000000000000007</v>
      </c>
      <c r="E91" s="14">
        <v>16.8</v>
      </c>
      <c r="F91" s="14">
        <v>3.3</v>
      </c>
      <c r="G91" s="58">
        <f t="shared" si="2"/>
        <v>13.5</v>
      </c>
      <c r="H91" s="58">
        <f>(B91+C91+2*D91)/4</f>
        <v>9.3500000000000014</v>
      </c>
      <c r="I91" s="60">
        <v>9.240208333333312</v>
      </c>
      <c r="J91" s="165">
        <v>9.1999999999999993</v>
      </c>
      <c r="K91" s="14">
        <v>2.4</v>
      </c>
      <c r="L91" s="50">
        <v>5.956527777777751</v>
      </c>
      <c r="M91" s="66">
        <v>96.4</v>
      </c>
      <c r="N91" s="24">
        <v>58.7</v>
      </c>
      <c r="O91" s="62">
        <v>81.261388888888831</v>
      </c>
      <c r="P91" s="377">
        <v>1009.2924434545</v>
      </c>
      <c r="Q91" s="21">
        <v>1005.7932928164799</v>
      </c>
      <c r="R91" s="383">
        <v>1007.4854629666048</v>
      </c>
      <c r="S91" s="54">
        <v>4.4000000035199998</v>
      </c>
      <c r="T91" s="47">
        <v>2.5700000020559997</v>
      </c>
      <c r="U91" s="25">
        <v>0.59628688968844179</v>
      </c>
      <c r="V91" s="175" t="s">
        <v>242</v>
      </c>
      <c r="W91" s="198" t="s">
        <v>224</v>
      </c>
      <c r="X91" s="26">
        <v>6</v>
      </c>
      <c r="Y91" s="27">
        <v>0.9</v>
      </c>
      <c r="Z91" s="28">
        <v>0</v>
      </c>
      <c r="AA91" s="396">
        <v>0</v>
      </c>
      <c r="AB91" s="261" t="s">
        <v>219</v>
      </c>
      <c r="AC91" s="200"/>
    </row>
    <row r="92" spans="1:29" s="257" customFormat="1" ht="15" thickBot="1" x14ac:dyDescent="0.35">
      <c r="A92" s="370">
        <v>45747</v>
      </c>
      <c r="B92" s="38">
        <v>6.9</v>
      </c>
      <c r="C92" s="22">
        <v>10.5</v>
      </c>
      <c r="D92" s="22">
        <v>7.7</v>
      </c>
      <c r="E92" s="22">
        <v>10.6</v>
      </c>
      <c r="F92" s="22">
        <v>6.8</v>
      </c>
      <c r="G92" s="22">
        <f t="shared" si="2"/>
        <v>3.8</v>
      </c>
      <c r="H92" s="22">
        <f>(B92+C92+2*D92)/4</f>
        <v>8.1999999999999993</v>
      </c>
      <c r="I92" s="61">
        <v>8.2387500000000369</v>
      </c>
      <c r="J92" s="166">
        <v>6.9</v>
      </c>
      <c r="K92" s="22">
        <v>4.2</v>
      </c>
      <c r="L92" s="256">
        <v>5.4350694444444452</v>
      </c>
      <c r="M92" s="67">
        <v>92</v>
      </c>
      <c r="N92" s="52">
        <v>71.5</v>
      </c>
      <c r="O92" s="63">
        <v>82.647291666666831</v>
      </c>
      <c r="P92" s="381">
        <v>1016.24560407571</v>
      </c>
      <c r="Q92" s="53">
        <v>1006.83784090494</v>
      </c>
      <c r="R92" s="388">
        <v>1011.3685981694307</v>
      </c>
      <c r="S92" s="56">
        <v>6.8000000054400003</v>
      </c>
      <c r="T92" s="49">
        <v>4.1733333366720009</v>
      </c>
      <c r="U92" s="39">
        <v>1.4393187359446418</v>
      </c>
      <c r="V92" s="176" t="s">
        <v>242</v>
      </c>
      <c r="W92" s="199" t="s">
        <v>224</v>
      </c>
      <c r="X92" s="40">
        <v>6</v>
      </c>
      <c r="Y92" s="41">
        <v>0.8</v>
      </c>
      <c r="Z92" s="42">
        <v>0</v>
      </c>
      <c r="AA92" s="399">
        <v>0</v>
      </c>
      <c r="AB92" s="262" t="s">
        <v>218</v>
      </c>
      <c r="AC92" s="404"/>
    </row>
    <row r="93" spans="1:29" s="326" customFormat="1" x14ac:dyDescent="0.3">
      <c r="A93" s="370">
        <v>45748</v>
      </c>
      <c r="B93" s="313">
        <v>7.9</v>
      </c>
      <c r="C93" s="314">
        <v>9.8000000000000007</v>
      </c>
      <c r="D93" s="314">
        <v>9.6999999999999993</v>
      </c>
      <c r="E93" s="314">
        <v>11.9</v>
      </c>
      <c r="F93" s="314">
        <v>7.6</v>
      </c>
      <c r="G93" s="315">
        <f t="shared" ref="G93:G122" si="4">E93-F93</f>
        <v>4.3000000000000007</v>
      </c>
      <c r="H93" s="315">
        <f>(B93+C93+2*D93)/4</f>
        <v>9.2750000000000004</v>
      </c>
      <c r="I93" s="316">
        <v>9.1562890896456306</v>
      </c>
      <c r="J93" s="336">
        <v>7.8</v>
      </c>
      <c r="K93" s="314">
        <v>5</v>
      </c>
      <c r="L93" s="315">
        <v>6.3066018068102503</v>
      </c>
      <c r="M93" s="317">
        <v>85.8</v>
      </c>
      <c r="N93" s="318">
        <v>74.7</v>
      </c>
      <c r="O93" s="319">
        <v>82.378874218207173</v>
      </c>
      <c r="P93" s="380">
        <v>1019.43008419155</v>
      </c>
      <c r="Q93" s="320">
        <v>1015.91312168849</v>
      </c>
      <c r="R93" s="386">
        <v>1018.089857669718</v>
      </c>
      <c r="S93" s="290">
        <v>7.5000000059999996</v>
      </c>
      <c r="T93" s="291">
        <v>3.8466666697440006</v>
      </c>
      <c r="U93" s="291">
        <v>1.770174801124802</v>
      </c>
      <c r="V93" s="292" t="s">
        <v>242</v>
      </c>
      <c r="W93" s="335" t="s">
        <v>224</v>
      </c>
      <c r="X93" s="84">
        <v>6</v>
      </c>
      <c r="Y93" s="85">
        <v>0.1</v>
      </c>
      <c r="Z93" s="86">
        <v>0</v>
      </c>
      <c r="AA93" s="393">
        <v>0</v>
      </c>
      <c r="AB93" s="325" t="s">
        <v>219</v>
      </c>
      <c r="AC93" s="402"/>
    </row>
    <row r="94" spans="1:29" s="20" customFormat="1" x14ac:dyDescent="0.3">
      <c r="A94" s="370">
        <v>45749</v>
      </c>
      <c r="B94" s="37">
        <v>8.3000000000000007</v>
      </c>
      <c r="C94" s="14">
        <v>9.5</v>
      </c>
      <c r="D94" s="14">
        <v>6.7</v>
      </c>
      <c r="E94" s="14">
        <v>9.9</v>
      </c>
      <c r="F94" s="14">
        <v>1.2</v>
      </c>
      <c r="G94" s="58">
        <f t="shared" si="4"/>
        <v>8.7000000000000011</v>
      </c>
      <c r="H94" s="58">
        <f t="shared" ref="H94:H121" si="5">(B94+C94+2*D94)/4</f>
        <v>7.8000000000000007</v>
      </c>
      <c r="I94" s="60">
        <v>8.3536805555556093</v>
      </c>
      <c r="J94" s="165">
        <v>6.9</v>
      </c>
      <c r="K94" s="14">
        <v>0</v>
      </c>
      <c r="L94" s="50">
        <v>5.7514583333333338</v>
      </c>
      <c r="M94" s="66">
        <v>92.2</v>
      </c>
      <c r="N94" s="24">
        <v>79</v>
      </c>
      <c r="O94" s="62">
        <v>83.73993055555556</v>
      </c>
      <c r="P94" s="377">
        <v>1020.02468325604</v>
      </c>
      <c r="Q94" s="21">
        <v>1016.98196560897</v>
      </c>
      <c r="R94" s="383">
        <v>1018.1427118756372</v>
      </c>
      <c r="S94" s="54">
        <v>7.1000000056800001</v>
      </c>
      <c r="T94" s="47">
        <v>3.6833333362800005</v>
      </c>
      <c r="U94" s="25">
        <v>1.5170192086048153</v>
      </c>
      <c r="V94" s="175" t="s">
        <v>242</v>
      </c>
      <c r="W94" s="196"/>
      <c r="X94" s="16">
        <v>0</v>
      </c>
      <c r="Y94" s="17">
        <v>0</v>
      </c>
      <c r="Z94" s="18">
        <v>0</v>
      </c>
      <c r="AA94" s="394">
        <v>0</v>
      </c>
      <c r="AB94" s="260" t="s">
        <v>238</v>
      </c>
      <c r="AC94" s="200"/>
    </row>
    <row r="95" spans="1:29" s="20" customFormat="1" x14ac:dyDescent="0.3">
      <c r="A95" s="370">
        <v>45750</v>
      </c>
      <c r="B95" s="37">
        <v>0.3</v>
      </c>
      <c r="C95" s="14">
        <v>18.3</v>
      </c>
      <c r="D95" s="14">
        <v>8.1999999999999993</v>
      </c>
      <c r="E95" s="14">
        <v>18.600000000000001</v>
      </c>
      <c r="F95" s="14">
        <v>-2</v>
      </c>
      <c r="G95" s="58">
        <f t="shared" si="4"/>
        <v>20.6</v>
      </c>
      <c r="H95" s="58">
        <f t="shared" si="5"/>
        <v>8.75</v>
      </c>
      <c r="I95" s="60">
        <v>8.8014593467685849</v>
      </c>
      <c r="J95" s="165">
        <v>7.1</v>
      </c>
      <c r="K95" s="14">
        <v>-2.7</v>
      </c>
      <c r="L95" s="50">
        <v>2.1189715079916609</v>
      </c>
      <c r="M95" s="66">
        <v>97.7</v>
      </c>
      <c r="N95" s="24">
        <v>40.5</v>
      </c>
      <c r="O95" s="62">
        <v>67.045100764419686</v>
      </c>
      <c r="P95" s="377">
        <v>1022.75117760314</v>
      </c>
      <c r="Q95" s="21">
        <v>1018.82759554284</v>
      </c>
      <c r="R95" s="383">
        <v>1020.5171229288055</v>
      </c>
      <c r="S95" s="54">
        <v>12.60000001008</v>
      </c>
      <c r="T95" s="47">
        <v>7.8333333396000002</v>
      </c>
      <c r="U95" s="25">
        <v>2.2488589481452812</v>
      </c>
      <c r="V95" s="175" t="s">
        <v>241</v>
      </c>
      <c r="W95" s="196"/>
      <c r="X95" s="16">
        <v>0</v>
      </c>
      <c r="Y95" s="17">
        <v>0</v>
      </c>
      <c r="Z95" s="18">
        <v>0</v>
      </c>
      <c r="AA95" s="394">
        <v>0</v>
      </c>
      <c r="AB95" s="260" t="s">
        <v>279</v>
      </c>
      <c r="AC95" s="200"/>
    </row>
    <row r="96" spans="1:29" s="20" customFormat="1" x14ac:dyDescent="0.3">
      <c r="A96" s="370">
        <v>45751</v>
      </c>
      <c r="B96" s="37">
        <v>1.2</v>
      </c>
      <c r="C96" s="14">
        <v>22.8</v>
      </c>
      <c r="D96" s="14">
        <v>12.5</v>
      </c>
      <c r="E96" s="14">
        <v>22.9</v>
      </c>
      <c r="F96" s="14">
        <v>-1.6</v>
      </c>
      <c r="G96" s="58">
        <f t="shared" si="4"/>
        <v>24.5</v>
      </c>
      <c r="H96" s="58">
        <f t="shared" si="5"/>
        <v>12.25</v>
      </c>
      <c r="I96" s="60">
        <v>11.00326388888889</v>
      </c>
      <c r="J96" s="165">
        <v>11.2</v>
      </c>
      <c r="K96" s="14">
        <v>-3.1</v>
      </c>
      <c r="L96" s="50">
        <v>4.1753472222222205</v>
      </c>
      <c r="M96" s="66">
        <v>93.7</v>
      </c>
      <c r="N96" s="24">
        <v>41.1</v>
      </c>
      <c r="O96" s="62">
        <v>65.98201388888873</v>
      </c>
      <c r="P96" s="377">
        <v>1022.65218406626</v>
      </c>
      <c r="Q96" s="21">
        <v>1011.35644968696</v>
      </c>
      <c r="R96" s="383">
        <v>1017.2109411715543</v>
      </c>
      <c r="S96" s="55">
        <v>6.8000000054400003</v>
      </c>
      <c r="T96" s="48">
        <v>4.8733333372320002</v>
      </c>
      <c r="U96" s="19">
        <v>1.088055556426003</v>
      </c>
      <c r="V96" s="175" t="s">
        <v>241</v>
      </c>
      <c r="W96" s="197"/>
      <c r="X96" s="16">
        <v>0</v>
      </c>
      <c r="Y96" s="17">
        <v>0</v>
      </c>
      <c r="Z96" s="18">
        <v>0</v>
      </c>
      <c r="AA96" s="394">
        <v>0</v>
      </c>
      <c r="AB96" s="260" t="s">
        <v>280</v>
      </c>
      <c r="AC96" s="200"/>
    </row>
    <row r="97" spans="1:29" s="20" customFormat="1" x14ac:dyDescent="0.3">
      <c r="A97" s="370">
        <v>45752</v>
      </c>
      <c r="B97" s="37">
        <v>6.4</v>
      </c>
      <c r="C97" s="14">
        <v>10.7</v>
      </c>
      <c r="D97" s="14">
        <v>1.8</v>
      </c>
      <c r="E97" s="14">
        <v>16.600000000000001</v>
      </c>
      <c r="F97" s="14">
        <v>0.8</v>
      </c>
      <c r="G97" s="58">
        <f t="shared" si="4"/>
        <v>15.8</v>
      </c>
      <c r="H97" s="58">
        <f t="shared" si="5"/>
        <v>5.1750000000000007</v>
      </c>
      <c r="I97" s="60">
        <v>7.1025712300208532</v>
      </c>
      <c r="J97" s="165">
        <v>10</v>
      </c>
      <c r="K97" s="14">
        <v>-3.5</v>
      </c>
      <c r="L97" s="50">
        <v>2.2478109798471282</v>
      </c>
      <c r="M97" s="66">
        <v>92.2</v>
      </c>
      <c r="N97" s="24">
        <v>43.8</v>
      </c>
      <c r="O97" s="62">
        <v>72.613203613620541</v>
      </c>
      <c r="P97" s="377">
        <v>1011.63802014417</v>
      </c>
      <c r="Q97" s="21">
        <v>1003.75894159746</v>
      </c>
      <c r="R97" s="383">
        <v>1007.0572836197983</v>
      </c>
      <c r="S97" s="54">
        <v>14.600000011680001</v>
      </c>
      <c r="T97" s="47">
        <v>8.2066666732320002</v>
      </c>
      <c r="U97" s="25">
        <v>2.6109053518829621</v>
      </c>
      <c r="V97" s="175" t="s">
        <v>242</v>
      </c>
      <c r="W97" s="197" t="s">
        <v>220</v>
      </c>
      <c r="X97" s="16">
        <v>6</v>
      </c>
      <c r="Y97" s="17">
        <v>3</v>
      </c>
      <c r="Z97" s="18">
        <v>1</v>
      </c>
      <c r="AA97" s="394">
        <v>0</v>
      </c>
      <c r="AB97" s="260" t="s">
        <v>285</v>
      </c>
      <c r="AC97" s="200"/>
    </row>
    <row r="98" spans="1:29" s="20" customFormat="1" x14ac:dyDescent="0.3">
      <c r="A98" s="370">
        <v>45753</v>
      </c>
      <c r="B98" s="37">
        <v>-0.4</v>
      </c>
      <c r="C98" s="14">
        <v>1.5</v>
      </c>
      <c r="D98" s="14">
        <v>-0.8</v>
      </c>
      <c r="E98" s="14">
        <v>2.6</v>
      </c>
      <c r="F98" s="14">
        <v>-2.9</v>
      </c>
      <c r="G98" s="58">
        <f t="shared" si="4"/>
        <v>5.5</v>
      </c>
      <c r="H98" s="58">
        <f t="shared" si="5"/>
        <v>-0.125</v>
      </c>
      <c r="I98" s="60">
        <v>0.1604225352112697</v>
      </c>
      <c r="J98" s="165">
        <v>-2.1</v>
      </c>
      <c r="K98" s="14">
        <v>-7.5</v>
      </c>
      <c r="L98" s="50">
        <v>-3.9154225352112628</v>
      </c>
      <c r="M98" s="66">
        <v>91</v>
      </c>
      <c r="N98" s="24">
        <v>60</v>
      </c>
      <c r="O98" s="62">
        <v>74.499295774647891</v>
      </c>
      <c r="P98" s="377">
        <v>1017.6635927498399</v>
      </c>
      <c r="Q98" s="21">
        <v>1008.67665745635</v>
      </c>
      <c r="R98" s="383">
        <v>1013.3407577645976</v>
      </c>
      <c r="S98" s="54">
        <v>10.20000000816</v>
      </c>
      <c r="T98" s="47">
        <v>6.1200000048960002</v>
      </c>
      <c r="U98" s="25">
        <v>2.6842307713781488</v>
      </c>
      <c r="V98" s="175" t="s">
        <v>242</v>
      </c>
      <c r="W98" s="197" t="s">
        <v>213</v>
      </c>
      <c r="X98" s="16">
        <v>0</v>
      </c>
      <c r="Y98" s="17">
        <v>0</v>
      </c>
      <c r="Z98" s="18">
        <v>0</v>
      </c>
      <c r="AA98" s="394">
        <v>1</v>
      </c>
      <c r="AB98" s="260" t="s">
        <v>286</v>
      </c>
      <c r="AC98" s="200"/>
    </row>
    <row r="99" spans="1:29" s="20" customFormat="1" x14ac:dyDescent="0.3">
      <c r="A99" s="370">
        <v>45754</v>
      </c>
      <c r="B99" s="37">
        <v>-2.2000000000000002</v>
      </c>
      <c r="C99" s="14">
        <v>5.4</v>
      </c>
      <c r="D99" s="14">
        <v>0.3</v>
      </c>
      <c r="E99" s="14">
        <v>6.6</v>
      </c>
      <c r="F99" s="14">
        <v>-5.4</v>
      </c>
      <c r="G99" s="58">
        <f t="shared" si="4"/>
        <v>12</v>
      </c>
      <c r="H99" s="58">
        <f t="shared" si="5"/>
        <v>0.95000000000000007</v>
      </c>
      <c r="I99" s="60">
        <v>0.81562499999999916</v>
      </c>
      <c r="J99" s="165">
        <v>-0.5</v>
      </c>
      <c r="K99" s="14">
        <v>-8</v>
      </c>
      <c r="L99" s="50">
        <v>-5.1324305555555574</v>
      </c>
      <c r="M99" s="66">
        <v>85.8</v>
      </c>
      <c r="N99" s="24">
        <v>46.9</v>
      </c>
      <c r="O99" s="62">
        <v>65.693958333333228</v>
      </c>
      <c r="P99" s="377">
        <v>1021.09819320086</v>
      </c>
      <c r="Q99" s="21">
        <v>1017.00931071371</v>
      </c>
      <c r="R99" s="383">
        <v>1018.5599732799704</v>
      </c>
      <c r="S99" s="54">
        <v>7.8000000062400003</v>
      </c>
      <c r="T99" s="47">
        <v>4.760000003807999</v>
      </c>
      <c r="U99" s="25">
        <v>1.4111952202524667</v>
      </c>
      <c r="V99" s="175" t="s">
        <v>242</v>
      </c>
      <c r="W99" s="197" t="s">
        <v>213</v>
      </c>
      <c r="X99" s="16">
        <v>0</v>
      </c>
      <c r="Y99" s="17">
        <v>0</v>
      </c>
      <c r="Z99" s="18">
        <v>0</v>
      </c>
      <c r="AA99" s="394">
        <v>0</v>
      </c>
      <c r="AB99" s="260" t="s">
        <v>250</v>
      </c>
      <c r="AC99" s="200"/>
    </row>
    <row r="100" spans="1:29" s="20" customFormat="1" x14ac:dyDescent="0.3">
      <c r="A100" s="370">
        <v>45755</v>
      </c>
      <c r="B100" s="37">
        <v>0.4</v>
      </c>
      <c r="C100" s="14">
        <v>7.7</v>
      </c>
      <c r="D100" s="14">
        <v>2.2999999999999998</v>
      </c>
      <c r="E100" s="14">
        <v>8.6999999999999993</v>
      </c>
      <c r="F100" s="14">
        <v>-1.1000000000000001</v>
      </c>
      <c r="G100" s="58">
        <f t="shared" si="4"/>
        <v>9.7999999999999989</v>
      </c>
      <c r="H100" s="58">
        <f t="shared" si="5"/>
        <v>3.1749999999999998</v>
      </c>
      <c r="I100" s="60">
        <v>3.7783182765809671</v>
      </c>
      <c r="J100" s="165">
        <v>1.8</v>
      </c>
      <c r="K100" s="14">
        <v>-4.8</v>
      </c>
      <c r="L100" s="50">
        <v>-2.1198054204308505</v>
      </c>
      <c r="M100" s="66">
        <v>90.7</v>
      </c>
      <c r="N100" s="24">
        <v>49.9</v>
      </c>
      <c r="O100" s="62">
        <v>66.657817929117456</v>
      </c>
      <c r="P100" s="377">
        <v>1021.23627659257</v>
      </c>
      <c r="Q100" s="21">
        <v>1019.73474715364</v>
      </c>
      <c r="R100" s="383">
        <v>1020.4088586465817</v>
      </c>
      <c r="S100" s="54">
        <v>9.5000000076000006</v>
      </c>
      <c r="T100" s="47">
        <v>5.4533333376959998</v>
      </c>
      <c r="U100" s="25">
        <v>1.5763164634287421</v>
      </c>
      <c r="V100" s="175" t="s">
        <v>242</v>
      </c>
      <c r="W100" s="197" t="s">
        <v>213</v>
      </c>
      <c r="X100" s="16">
        <v>0</v>
      </c>
      <c r="Y100" s="17">
        <v>0</v>
      </c>
      <c r="Z100" s="18">
        <v>0</v>
      </c>
      <c r="AA100" s="394">
        <v>0</v>
      </c>
      <c r="AB100" s="260" t="s">
        <v>250</v>
      </c>
      <c r="AC100" s="200"/>
    </row>
    <row r="101" spans="1:29" s="20" customFormat="1" x14ac:dyDescent="0.3">
      <c r="A101" s="370">
        <v>45756</v>
      </c>
      <c r="B101" s="37">
        <v>-1.2</v>
      </c>
      <c r="C101" s="14">
        <v>13.5</v>
      </c>
      <c r="D101" s="14">
        <v>6.3</v>
      </c>
      <c r="E101" s="14">
        <v>13.9</v>
      </c>
      <c r="F101" s="14">
        <v>-3.5</v>
      </c>
      <c r="G101" s="58">
        <f t="shared" si="4"/>
        <v>17.399999999999999</v>
      </c>
      <c r="H101" s="58">
        <f t="shared" si="5"/>
        <v>6.2249999999999996</v>
      </c>
      <c r="I101" s="60">
        <v>5.9996527777777642</v>
      </c>
      <c r="J101" s="165">
        <v>0.1</v>
      </c>
      <c r="K101" s="14">
        <v>-6.1</v>
      </c>
      <c r="L101" s="50">
        <v>-2.6300694444444419</v>
      </c>
      <c r="M101" s="66">
        <v>88.3</v>
      </c>
      <c r="N101" s="24">
        <v>32.9</v>
      </c>
      <c r="O101" s="62">
        <v>57.189374999999899</v>
      </c>
      <c r="P101" s="377">
        <v>1020.10975443501</v>
      </c>
      <c r="Q101" s="21">
        <v>1013.1751250415</v>
      </c>
      <c r="R101" s="383">
        <v>1017.4291374517348</v>
      </c>
      <c r="S101" s="54">
        <v>8.8000000070399995</v>
      </c>
      <c r="T101" s="47">
        <v>5.7433333379279992</v>
      </c>
      <c r="U101" s="25">
        <v>1.7422974298266305</v>
      </c>
      <c r="V101" s="175" t="s">
        <v>242</v>
      </c>
      <c r="W101" s="197" t="s">
        <v>220</v>
      </c>
      <c r="X101" s="16">
        <v>6</v>
      </c>
      <c r="Y101" s="17">
        <v>0.8</v>
      </c>
      <c r="Z101" s="18">
        <v>0</v>
      </c>
      <c r="AA101" s="394">
        <v>0</v>
      </c>
      <c r="AB101" s="260" t="s">
        <v>238</v>
      </c>
      <c r="AC101" s="200"/>
    </row>
    <row r="102" spans="1:29" s="20" customFormat="1" x14ac:dyDescent="0.3">
      <c r="A102" s="370">
        <v>45757</v>
      </c>
      <c r="B102" s="37">
        <v>1.1000000000000001</v>
      </c>
      <c r="C102" s="14">
        <v>6.9</v>
      </c>
      <c r="D102" s="14">
        <v>1.6</v>
      </c>
      <c r="E102" s="14">
        <v>7.4</v>
      </c>
      <c r="F102" s="14">
        <v>1</v>
      </c>
      <c r="G102" s="58">
        <f t="shared" si="4"/>
        <v>6.4</v>
      </c>
      <c r="H102" s="58">
        <f t="shared" si="5"/>
        <v>2.8</v>
      </c>
      <c r="I102" s="60">
        <v>4.1548297428769914</v>
      </c>
      <c r="J102" s="165">
        <v>2.4</v>
      </c>
      <c r="K102" s="14">
        <v>-5.8</v>
      </c>
      <c r="L102" s="50">
        <v>-3.0747046560111184</v>
      </c>
      <c r="M102" s="66">
        <v>87.2</v>
      </c>
      <c r="N102" s="24">
        <v>41.9</v>
      </c>
      <c r="O102" s="62">
        <v>60.469492703266027</v>
      </c>
      <c r="P102" s="377">
        <v>1018.31536366172</v>
      </c>
      <c r="Q102" s="21">
        <v>1010.051334513</v>
      </c>
      <c r="R102" s="383">
        <v>1015.5394586103496</v>
      </c>
      <c r="S102" s="54">
        <v>13.30000001064</v>
      </c>
      <c r="T102" s="47">
        <v>7.2466666724639994</v>
      </c>
      <c r="U102" s="25">
        <v>3.1604517636309675</v>
      </c>
      <c r="V102" s="175" t="s">
        <v>242</v>
      </c>
      <c r="W102" s="197" t="s">
        <v>257</v>
      </c>
      <c r="X102" s="16">
        <v>0</v>
      </c>
      <c r="Y102" s="17">
        <v>0</v>
      </c>
      <c r="Z102" s="18">
        <v>0</v>
      </c>
      <c r="AA102" s="394">
        <v>0</v>
      </c>
      <c r="AB102" s="260" t="s">
        <v>274</v>
      </c>
      <c r="AC102" s="200"/>
    </row>
    <row r="103" spans="1:29" s="20" customFormat="1" x14ac:dyDescent="0.3">
      <c r="A103" s="370">
        <v>45758</v>
      </c>
      <c r="B103" s="37">
        <v>2.1</v>
      </c>
      <c r="C103" s="14">
        <v>4.5</v>
      </c>
      <c r="D103" s="14">
        <v>4.5</v>
      </c>
      <c r="E103" s="14">
        <v>6.8</v>
      </c>
      <c r="F103" s="14">
        <v>1.4</v>
      </c>
      <c r="G103" s="58">
        <f t="shared" si="4"/>
        <v>5.4</v>
      </c>
      <c r="H103" s="58">
        <f t="shared" si="5"/>
        <v>3.9</v>
      </c>
      <c r="I103" s="60">
        <v>4.1762500000000031</v>
      </c>
      <c r="J103" s="165">
        <v>4.4000000000000004</v>
      </c>
      <c r="K103" s="14">
        <v>-4.5</v>
      </c>
      <c r="L103" s="50">
        <v>1.2052083333333345</v>
      </c>
      <c r="M103" s="66">
        <v>93.6</v>
      </c>
      <c r="N103" s="24">
        <v>61.7</v>
      </c>
      <c r="O103" s="62">
        <v>81.448124999999877</v>
      </c>
      <c r="P103" s="377">
        <v>1016.11392857447</v>
      </c>
      <c r="Q103" s="21">
        <v>1009.27480456127</v>
      </c>
      <c r="R103" s="383">
        <v>1011.9086769335887</v>
      </c>
      <c r="S103" s="54">
        <v>5.8000000046400002</v>
      </c>
      <c r="T103" s="47">
        <v>4.670000003735999</v>
      </c>
      <c r="U103" s="25">
        <v>1.3873474641798755</v>
      </c>
      <c r="V103" s="175" t="s">
        <v>241</v>
      </c>
      <c r="W103" s="197" t="s">
        <v>224</v>
      </c>
      <c r="X103" s="16">
        <v>6</v>
      </c>
      <c r="Y103" s="17">
        <v>2.6</v>
      </c>
      <c r="Z103" s="18">
        <v>0</v>
      </c>
      <c r="AA103" s="394">
        <v>0</v>
      </c>
      <c r="AB103" s="260" t="s">
        <v>218</v>
      </c>
      <c r="AC103" s="200"/>
    </row>
    <row r="104" spans="1:29" s="20" customFormat="1" x14ac:dyDescent="0.3">
      <c r="A104" s="370">
        <v>45759</v>
      </c>
      <c r="B104" s="37">
        <v>6.6</v>
      </c>
      <c r="C104" s="14">
        <v>14.2</v>
      </c>
      <c r="D104" s="14">
        <v>5.4</v>
      </c>
      <c r="E104" s="14">
        <v>16.100000000000001</v>
      </c>
      <c r="F104" s="14">
        <v>3</v>
      </c>
      <c r="G104" s="58">
        <f t="shared" si="4"/>
        <v>13.100000000000001</v>
      </c>
      <c r="H104" s="58">
        <f t="shared" si="5"/>
        <v>7.8999999999999995</v>
      </c>
      <c r="I104" s="60">
        <v>8.6072222222222337</v>
      </c>
      <c r="J104" s="165">
        <v>8.6</v>
      </c>
      <c r="K104" s="14">
        <v>1.3</v>
      </c>
      <c r="L104" s="50">
        <v>5.1228472222222106</v>
      </c>
      <c r="M104" s="66">
        <v>96.1</v>
      </c>
      <c r="N104" s="24">
        <v>51.4</v>
      </c>
      <c r="O104" s="62">
        <v>80.638611111110919</v>
      </c>
      <c r="P104" s="377">
        <v>1017.91752660342</v>
      </c>
      <c r="Q104" s="21">
        <v>1013.0459021980701</v>
      </c>
      <c r="R104" s="383">
        <v>1015.6018299200994</v>
      </c>
      <c r="S104" s="54">
        <v>5.4000000043199998</v>
      </c>
      <c r="T104" s="47">
        <v>3.0883333358039997</v>
      </c>
      <c r="U104" s="25">
        <v>1.0188313321463907</v>
      </c>
      <c r="V104" s="175" t="s">
        <v>241</v>
      </c>
      <c r="W104" s="197"/>
      <c r="X104" s="16">
        <v>0</v>
      </c>
      <c r="Y104" s="17">
        <v>0</v>
      </c>
      <c r="Z104" s="18">
        <v>0</v>
      </c>
      <c r="AA104" s="394">
        <v>0</v>
      </c>
      <c r="AB104" s="260" t="s">
        <v>238</v>
      </c>
      <c r="AC104" s="200"/>
    </row>
    <row r="105" spans="1:29" s="20" customFormat="1" x14ac:dyDescent="0.3">
      <c r="A105" s="370">
        <v>45760</v>
      </c>
      <c r="B105" s="37">
        <v>3.2</v>
      </c>
      <c r="C105" s="14">
        <v>17.899999999999999</v>
      </c>
      <c r="D105" s="14">
        <v>15.3</v>
      </c>
      <c r="E105" s="14">
        <v>18.600000000000001</v>
      </c>
      <c r="F105" s="14">
        <v>-0.5</v>
      </c>
      <c r="G105" s="58">
        <f t="shared" si="4"/>
        <v>19.100000000000001</v>
      </c>
      <c r="H105" s="58">
        <f t="shared" si="5"/>
        <v>12.925000000000001</v>
      </c>
      <c r="I105" s="60">
        <v>11.076789437109085</v>
      </c>
      <c r="J105" s="165">
        <v>8.6999999999999993</v>
      </c>
      <c r="K105" s="14">
        <v>-1.5</v>
      </c>
      <c r="L105" s="50">
        <v>4.9363446838082128</v>
      </c>
      <c r="M105" s="66">
        <v>97.4</v>
      </c>
      <c r="N105" s="24">
        <v>48.8</v>
      </c>
      <c r="O105" s="62">
        <v>68.465462126476837</v>
      </c>
      <c r="P105" s="377">
        <v>1017.22183043605</v>
      </c>
      <c r="Q105" s="21">
        <v>1011.46257677988</v>
      </c>
      <c r="R105" s="383">
        <v>1014.2824935328124</v>
      </c>
      <c r="S105" s="54">
        <v>11.900000009519999</v>
      </c>
      <c r="T105" s="47">
        <v>7.3766666725680015</v>
      </c>
      <c r="U105" s="25">
        <v>2.7386594224807701</v>
      </c>
      <c r="V105" s="175" t="s">
        <v>239</v>
      </c>
      <c r="W105" s="200" t="s">
        <v>224</v>
      </c>
      <c r="X105" s="26">
        <v>6</v>
      </c>
      <c r="Y105" s="27">
        <v>0.1</v>
      </c>
      <c r="Z105" s="28">
        <v>0</v>
      </c>
      <c r="AA105" s="396">
        <v>0</v>
      </c>
      <c r="AB105" s="261" t="s">
        <v>287</v>
      </c>
      <c r="AC105" s="200"/>
    </row>
    <row r="106" spans="1:29" s="20" customFormat="1" x14ac:dyDescent="0.3">
      <c r="A106" s="370">
        <v>45761</v>
      </c>
      <c r="B106" s="37">
        <v>11.3</v>
      </c>
      <c r="C106" s="14">
        <v>14.9</v>
      </c>
      <c r="D106" s="14">
        <v>12.9</v>
      </c>
      <c r="E106" s="14">
        <v>15.1</v>
      </c>
      <c r="F106" s="14">
        <v>9.4</v>
      </c>
      <c r="G106" s="58">
        <f t="shared" si="4"/>
        <v>5.6999999999999993</v>
      </c>
      <c r="H106" s="58">
        <f t="shared" si="5"/>
        <v>13</v>
      </c>
      <c r="I106" s="60">
        <v>12.585416666666692</v>
      </c>
      <c r="J106" s="165">
        <v>10</v>
      </c>
      <c r="K106" s="14">
        <v>6.4</v>
      </c>
      <c r="L106" s="50">
        <v>8.3839583333333589</v>
      </c>
      <c r="M106" s="66">
        <v>87.2</v>
      </c>
      <c r="N106" s="24">
        <v>66.099999999999994</v>
      </c>
      <c r="O106" s="62">
        <v>75.812291666666709</v>
      </c>
      <c r="P106" s="377">
        <v>1015.99358794706</v>
      </c>
      <c r="Q106" s="21">
        <v>1012.1992207276199</v>
      </c>
      <c r="R106" s="383">
        <v>1014.5755634544626</v>
      </c>
      <c r="S106" s="54">
        <v>10.20000000816</v>
      </c>
      <c r="T106" s="47">
        <v>5.6250000045000004</v>
      </c>
      <c r="U106" s="25">
        <v>1.8654209013471978</v>
      </c>
      <c r="V106" s="175" t="s">
        <v>239</v>
      </c>
      <c r="W106" s="198" t="s">
        <v>224</v>
      </c>
      <c r="X106" s="26">
        <v>6</v>
      </c>
      <c r="Y106" s="27">
        <v>2.4</v>
      </c>
      <c r="Z106" s="28">
        <v>0</v>
      </c>
      <c r="AA106" s="396">
        <v>0</v>
      </c>
      <c r="AB106" s="261" t="s">
        <v>218</v>
      </c>
      <c r="AC106" s="200"/>
    </row>
    <row r="107" spans="1:29" s="20" customFormat="1" x14ac:dyDescent="0.3">
      <c r="A107" s="370">
        <v>45762</v>
      </c>
      <c r="B107" s="37">
        <v>11.3</v>
      </c>
      <c r="C107" s="14">
        <v>12.2</v>
      </c>
      <c r="D107" s="14">
        <v>13.2</v>
      </c>
      <c r="E107" s="14">
        <v>13.9</v>
      </c>
      <c r="F107" s="14">
        <v>10.6</v>
      </c>
      <c r="G107" s="58">
        <f t="shared" si="4"/>
        <v>3.3000000000000007</v>
      </c>
      <c r="H107" s="58">
        <f t="shared" si="5"/>
        <v>12.475</v>
      </c>
      <c r="I107" s="60">
        <v>12.130208333333373</v>
      </c>
      <c r="J107" s="165">
        <v>11.5</v>
      </c>
      <c r="K107" s="14">
        <v>9</v>
      </c>
      <c r="L107" s="50">
        <v>10.219791666666643</v>
      </c>
      <c r="M107" s="66">
        <v>93.3</v>
      </c>
      <c r="N107" s="24">
        <v>78.599999999999994</v>
      </c>
      <c r="O107" s="62">
        <v>88.185138888889</v>
      </c>
      <c r="P107" s="377">
        <v>1014.87614085869</v>
      </c>
      <c r="Q107" s="21">
        <v>1011.7283839736</v>
      </c>
      <c r="R107" s="383">
        <v>1013.0903590613425</v>
      </c>
      <c r="S107" s="54">
        <v>11.900000009519999</v>
      </c>
      <c r="T107" s="47">
        <v>8.3000000066400013</v>
      </c>
      <c r="U107" s="25">
        <v>3.3833091639345931</v>
      </c>
      <c r="V107" s="175" t="s">
        <v>239</v>
      </c>
      <c r="W107" s="198" t="s">
        <v>224</v>
      </c>
      <c r="X107" s="26">
        <v>6</v>
      </c>
      <c r="Y107" s="27">
        <v>3</v>
      </c>
      <c r="Z107" s="28">
        <v>0</v>
      </c>
      <c r="AA107" s="396">
        <v>0</v>
      </c>
      <c r="AB107" s="261" t="s">
        <v>218</v>
      </c>
      <c r="AC107" s="200"/>
    </row>
    <row r="108" spans="1:29" s="20" customFormat="1" x14ac:dyDescent="0.3">
      <c r="A108" s="370">
        <v>45763</v>
      </c>
      <c r="B108" s="37">
        <v>13.6</v>
      </c>
      <c r="C108" s="14">
        <v>22.1</v>
      </c>
      <c r="D108" s="14">
        <v>13</v>
      </c>
      <c r="E108" s="14">
        <v>23.1</v>
      </c>
      <c r="F108" s="14">
        <v>9.1999999999999993</v>
      </c>
      <c r="G108" s="58">
        <f t="shared" si="4"/>
        <v>13.900000000000002</v>
      </c>
      <c r="H108" s="58">
        <f t="shared" si="5"/>
        <v>15.425000000000001</v>
      </c>
      <c r="I108" s="60">
        <v>16.533009034051446</v>
      </c>
      <c r="J108" s="165">
        <v>15.2</v>
      </c>
      <c r="K108" s="14">
        <v>7.2</v>
      </c>
      <c r="L108" s="50">
        <v>11.632244614315534</v>
      </c>
      <c r="M108" s="66">
        <v>90.3</v>
      </c>
      <c r="N108" s="24">
        <v>51.7</v>
      </c>
      <c r="O108" s="62">
        <v>74.220361362056934</v>
      </c>
      <c r="P108" s="377">
        <v>1016.9046639266001</v>
      </c>
      <c r="Q108" s="21">
        <v>1012.65440337985</v>
      </c>
      <c r="R108" s="383">
        <v>1014.9157160733804</v>
      </c>
      <c r="S108" s="54">
        <v>9.9000000079199992</v>
      </c>
      <c r="T108" s="47">
        <v>6.3233333383919996</v>
      </c>
      <c r="U108" s="25">
        <v>3.186080854642821</v>
      </c>
      <c r="V108" s="175" t="s">
        <v>239</v>
      </c>
      <c r="W108" s="198"/>
      <c r="X108" s="26">
        <v>0</v>
      </c>
      <c r="Y108" s="27">
        <v>0</v>
      </c>
      <c r="Z108" s="28">
        <v>0</v>
      </c>
      <c r="AA108" s="396">
        <v>0</v>
      </c>
      <c r="AB108" s="261" t="s">
        <v>280</v>
      </c>
      <c r="AC108" s="200"/>
    </row>
    <row r="109" spans="1:29" s="20" customFormat="1" x14ac:dyDescent="0.3">
      <c r="A109" s="370">
        <v>45764</v>
      </c>
      <c r="B109" s="37">
        <v>8.4</v>
      </c>
      <c r="C109" s="14">
        <v>25.8</v>
      </c>
      <c r="D109" s="14">
        <v>15.5</v>
      </c>
      <c r="E109" s="14">
        <v>26.1</v>
      </c>
      <c r="F109" s="14">
        <v>6.3</v>
      </c>
      <c r="G109" s="58">
        <f t="shared" si="4"/>
        <v>19.8</v>
      </c>
      <c r="H109" s="58">
        <f t="shared" si="5"/>
        <v>16.3</v>
      </c>
      <c r="I109" s="60">
        <v>16.652222222222242</v>
      </c>
      <c r="J109" s="165">
        <v>14.8</v>
      </c>
      <c r="K109" s="14">
        <v>5.2</v>
      </c>
      <c r="L109" s="50">
        <v>10.839027777777785</v>
      </c>
      <c r="M109" s="66">
        <v>97</v>
      </c>
      <c r="N109" s="24">
        <v>45.7</v>
      </c>
      <c r="O109" s="62">
        <v>71.6590972222223</v>
      </c>
      <c r="P109" s="377">
        <v>1017.8929940990899</v>
      </c>
      <c r="Q109" s="21">
        <v>1011.35162872646</v>
      </c>
      <c r="R109" s="383">
        <v>1014.670365505955</v>
      </c>
      <c r="S109" s="54">
        <v>10.20000000816</v>
      </c>
      <c r="T109" s="47">
        <v>6.5933333386080006</v>
      </c>
      <c r="U109" s="25">
        <v>2.0820559187540915</v>
      </c>
      <c r="V109" s="175" t="s">
        <v>241</v>
      </c>
      <c r="W109" s="198" t="s">
        <v>224</v>
      </c>
      <c r="X109" s="26">
        <v>6</v>
      </c>
      <c r="Y109" s="27">
        <v>0.6</v>
      </c>
      <c r="Z109" s="28">
        <v>0</v>
      </c>
      <c r="AA109" s="396">
        <v>0</v>
      </c>
      <c r="AB109" s="261" t="s">
        <v>238</v>
      </c>
      <c r="AC109" s="200"/>
    </row>
    <row r="110" spans="1:29" s="20" customFormat="1" x14ac:dyDescent="0.3">
      <c r="A110" s="370">
        <v>45765</v>
      </c>
      <c r="B110" s="37">
        <v>12.7</v>
      </c>
      <c r="C110" s="14">
        <v>16.7</v>
      </c>
      <c r="D110" s="14">
        <v>10.7</v>
      </c>
      <c r="E110" s="14">
        <v>19</v>
      </c>
      <c r="F110" s="14">
        <v>9.4</v>
      </c>
      <c r="G110" s="58">
        <f t="shared" si="4"/>
        <v>9.6</v>
      </c>
      <c r="H110" s="58">
        <f t="shared" si="5"/>
        <v>12.7</v>
      </c>
      <c r="I110" s="60">
        <v>13.332105628908975</v>
      </c>
      <c r="J110" s="165">
        <v>16.100000000000001</v>
      </c>
      <c r="K110" s="14">
        <v>8.1999999999999993</v>
      </c>
      <c r="L110" s="50">
        <v>11.555107713690049</v>
      </c>
      <c r="M110" s="66">
        <v>95.8</v>
      </c>
      <c r="N110" s="24">
        <v>80.900000000000006</v>
      </c>
      <c r="O110" s="62">
        <v>89.120152883947227</v>
      </c>
      <c r="P110" s="377">
        <v>1012.80210992525</v>
      </c>
      <c r="Q110" s="21">
        <v>1009.68545141441</v>
      </c>
      <c r="R110" s="383">
        <v>1011.3728704062493</v>
      </c>
      <c r="S110" s="54">
        <v>9.5000000076000006</v>
      </c>
      <c r="T110" s="47">
        <v>5.3700000042959992</v>
      </c>
      <c r="U110" s="25">
        <v>1.3493120937659109</v>
      </c>
      <c r="V110" s="175" t="s">
        <v>241</v>
      </c>
      <c r="W110" s="198" t="s">
        <v>224</v>
      </c>
      <c r="X110" s="26">
        <v>6</v>
      </c>
      <c r="Y110" s="27">
        <v>2</v>
      </c>
      <c r="Z110" s="28">
        <v>0</v>
      </c>
      <c r="AA110" s="396">
        <v>0</v>
      </c>
      <c r="AB110" s="261" t="s">
        <v>219</v>
      </c>
      <c r="AC110" s="200"/>
    </row>
    <row r="111" spans="1:29" s="20" customFormat="1" x14ac:dyDescent="0.3">
      <c r="A111" s="370">
        <v>45766</v>
      </c>
      <c r="B111" s="37">
        <v>10.9</v>
      </c>
      <c r="C111" s="14">
        <v>20</v>
      </c>
      <c r="D111" s="14">
        <v>12.6</v>
      </c>
      <c r="E111" s="14">
        <v>21</v>
      </c>
      <c r="F111" s="14">
        <v>6.5</v>
      </c>
      <c r="G111" s="58">
        <f t="shared" si="4"/>
        <v>14.5</v>
      </c>
      <c r="H111" s="58">
        <f t="shared" si="5"/>
        <v>14.024999999999999</v>
      </c>
      <c r="I111" s="60">
        <v>14.06541666666665</v>
      </c>
      <c r="J111" s="165">
        <v>13.4</v>
      </c>
      <c r="K111" s="14">
        <v>4.7</v>
      </c>
      <c r="L111" s="50">
        <v>9.7305555555555365</v>
      </c>
      <c r="M111" s="66">
        <v>97.4</v>
      </c>
      <c r="N111" s="24">
        <v>49.4</v>
      </c>
      <c r="O111" s="62">
        <v>77.223958333333442</v>
      </c>
      <c r="P111" s="377">
        <v>1012.95211467303</v>
      </c>
      <c r="Q111" s="21">
        <v>1009.99209719168</v>
      </c>
      <c r="R111" s="383">
        <v>1011.6573901478799</v>
      </c>
      <c r="S111" s="54">
        <v>7.5000000059999996</v>
      </c>
      <c r="T111" s="47">
        <v>4.7716666704840005</v>
      </c>
      <c r="U111" s="25">
        <v>1.8671757590694948</v>
      </c>
      <c r="V111" s="175" t="s">
        <v>240</v>
      </c>
      <c r="W111" s="198"/>
      <c r="X111" s="26">
        <v>0</v>
      </c>
      <c r="Y111" s="27">
        <v>0</v>
      </c>
      <c r="Z111" s="28">
        <v>0</v>
      </c>
      <c r="AA111" s="396">
        <v>0</v>
      </c>
      <c r="AB111" s="261" t="s">
        <v>288</v>
      </c>
      <c r="AC111" s="200"/>
    </row>
    <row r="112" spans="1:29" s="20" customFormat="1" x14ac:dyDescent="0.3">
      <c r="A112" s="370">
        <v>45767</v>
      </c>
      <c r="B112" s="37">
        <v>7.8</v>
      </c>
      <c r="C112" s="14">
        <v>20.9</v>
      </c>
      <c r="D112" s="14">
        <v>13</v>
      </c>
      <c r="E112" s="14">
        <v>22</v>
      </c>
      <c r="F112" s="14">
        <v>3.3</v>
      </c>
      <c r="G112" s="58">
        <f t="shared" si="4"/>
        <v>18.7</v>
      </c>
      <c r="H112" s="58">
        <f t="shared" si="5"/>
        <v>13.675000000000001</v>
      </c>
      <c r="I112" s="60">
        <v>13.69374999999998</v>
      </c>
      <c r="J112" s="165">
        <v>11.9</v>
      </c>
      <c r="K112" s="14">
        <v>2.2000000000000002</v>
      </c>
      <c r="L112" s="50">
        <v>8.0338194444444131</v>
      </c>
      <c r="M112" s="66">
        <v>95.7</v>
      </c>
      <c r="N112" s="24">
        <v>46.9</v>
      </c>
      <c r="O112" s="62">
        <v>71.315277777777908</v>
      </c>
      <c r="P112" s="377">
        <v>1012.48429997977</v>
      </c>
      <c r="Q112" s="21">
        <v>1008.02006598495</v>
      </c>
      <c r="R112" s="383">
        <v>1010.2701482033608</v>
      </c>
      <c r="S112" s="54">
        <v>10.900000008719999</v>
      </c>
      <c r="T112" s="47">
        <v>6.2150000049719996</v>
      </c>
      <c r="U112" s="25">
        <v>2.1757564771702782</v>
      </c>
      <c r="V112" s="175" t="s">
        <v>241</v>
      </c>
      <c r="W112" s="198"/>
      <c r="X112" s="26">
        <v>0</v>
      </c>
      <c r="Y112" s="27">
        <v>0</v>
      </c>
      <c r="Z112" s="28">
        <v>0</v>
      </c>
      <c r="AA112" s="396">
        <v>0</v>
      </c>
      <c r="AB112" s="261" t="s">
        <v>215</v>
      </c>
      <c r="AC112" s="200"/>
    </row>
    <row r="113" spans="1:29" s="20" customFormat="1" x14ac:dyDescent="0.3">
      <c r="A113" s="370">
        <v>45768</v>
      </c>
      <c r="B113" s="37">
        <v>8.1</v>
      </c>
      <c r="C113" s="14">
        <v>24.2</v>
      </c>
      <c r="D113" s="14">
        <v>13.1</v>
      </c>
      <c r="E113" s="14">
        <v>24.6</v>
      </c>
      <c r="F113" s="14">
        <v>4.8</v>
      </c>
      <c r="G113" s="58">
        <f t="shared" si="4"/>
        <v>19.8</v>
      </c>
      <c r="H113" s="58">
        <f t="shared" si="5"/>
        <v>14.625</v>
      </c>
      <c r="I113" s="60">
        <v>14.928908964558714</v>
      </c>
      <c r="J113" s="165">
        <v>13.9</v>
      </c>
      <c r="K113" s="14">
        <v>3.4</v>
      </c>
      <c r="L113" s="50">
        <v>9.2643502432244809</v>
      </c>
      <c r="M113" s="66">
        <v>94.8</v>
      </c>
      <c r="N113" s="24">
        <v>44.7</v>
      </c>
      <c r="O113" s="62">
        <v>71.912925642807508</v>
      </c>
      <c r="P113" s="377">
        <v>1011.08375361972</v>
      </c>
      <c r="Q113" s="21">
        <v>1007.77316588683</v>
      </c>
      <c r="R113" s="383">
        <v>1009.4788645183824</v>
      </c>
      <c r="S113" s="54">
        <v>11.20000000896</v>
      </c>
      <c r="T113" s="47">
        <v>6.6300000053039998</v>
      </c>
      <c r="U113" s="25">
        <v>1.6165699795383566</v>
      </c>
      <c r="V113" s="175" t="s">
        <v>241</v>
      </c>
      <c r="W113" s="198"/>
      <c r="X113" s="26">
        <v>0</v>
      </c>
      <c r="Y113" s="27">
        <v>0</v>
      </c>
      <c r="Z113" s="28">
        <v>0</v>
      </c>
      <c r="AA113" s="396">
        <v>0</v>
      </c>
      <c r="AB113" s="261" t="s">
        <v>280</v>
      </c>
      <c r="AC113" s="200"/>
    </row>
    <row r="114" spans="1:29" s="20" customFormat="1" x14ac:dyDescent="0.3">
      <c r="A114" s="370">
        <v>45769</v>
      </c>
      <c r="B114" s="37">
        <v>11.1</v>
      </c>
      <c r="C114" s="14">
        <v>26.3</v>
      </c>
      <c r="D114" s="14">
        <v>16.7</v>
      </c>
      <c r="E114" s="14">
        <v>27.5</v>
      </c>
      <c r="F114" s="14">
        <v>6</v>
      </c>
      <c r="G114" s="58">
        <f t="shared" si="4"/>
        <v>21.5</v>
      </c>
      <c r="H114" s="58">
        <f t="shared" si="5"/>
        <v>17.7</v>
      </c>
      <c r="I114" s="60">
        <v>16.656388888888905</v>
      </c>
      <c r="J114" s="165">
        <v>17.7</v>
      </c>
      <c r="K114" s="14">
        <v>4.5</v>
      </c>
      <c r="L114" s="50">
        <v>11.504930555555591</v>
      </c>
      <c r="M114" s="66">
        <v>94.4</v>
      </c>
      <c r="N114" s="24">
        <v>43.8</v>
      </c>
      <c r="O114" s="62">
        <v>73.719722222222202</v>
      </c>
      <c r="P114" s="377">
        <v>1016.17901664405</v>
      </c>
      <c r="Q114" s="21">
        <v>1010.6859125823501</v>
      </c>
      <c r="R114" s="383">
        <v>1012.5737317848863</v>
      </c>
      <c r="S114" s="54">
        <v>9.2000000073599999</v>
      </c>
      <c r="T114" s="47">
        <v>6.0366666714959996</v>
      </c>
      <c r="U114" s="25">
        <v>1.3402657015553032</v>
      </c>
      <c r="V114" s="175" t="s">
        <v>241</v>
      </c>
      <c r="W114" s="198" t="s">
        <v>224</v>
      </c>
      <c r="X114" s="26">
        <v>78</v>
      </c>
      <c r="Y114" s="27">
        <v>25</v>
      </c>
      <c r="Z114" s="28">
        <v>0</v>
      </c>
      <c r="AA114" s="396">
        <v>0</v>
      </c>
      <c r="AB114" s="261" t="s">
        <v>298</v>
      </c>
      <c r="AC114" s="200"/>
    </row>
    <row r="115" spans="1:29" s="20" customFormat="1" ht="43.2" x14ac:dyDescent="0.3">
      <c r="A115" s="370">
        <v>45770</v>
      </c>
      <c r="B115" s="37">
        <v>13.4</v>
      </c>
      <c r="C115" s="14">
        <v>24.8</v>
      </c>
      <c r="D115" s="14">
        <v>13.6</v>
      </c>
      <c r="E115" s="14">
        <v>25</v>
      </c>
      <c r="F115" s="14">
        <v>11.9</v>
      </c>
      <c r="G115" s="58">
        <f t="shared" si="4"/>
        <v>13.1</v>
      </c>
      <c r="H115" s="58">
        <f t="shared" si="5"/>
        <v>16.350000000000001</v>
      </c>
      <c r="I115" s="60">
        <v>16.4715774843642</v>
      </c>
      <c r="J115" s="165">
        <v>18</v>
      </c>
      <c r="K115" s="14">
        <v>10.8</v>
      </c>
      <c r="L115" s="50">
        <v>13.363168867268959</v>
      </c>
      <c r="M115" s="66">
        <v>95.4</v>
      </c>
      <c r="N115" s="24">
        <v>55.2</v>
      </c>
      <c r="O115" s="62">
        <v>83.409798471160798</v>
      </c>
      <c r="P115" s="377">
        <v>1016.16570437468</v>
      </c>
      <c r="Q115" s="21">
        <v>1010.6023724202</v>
      </c>
      <c r="R115" s="383">
        <v>1013.47791491893</v>
      </c>
      <c r="S115" s="54">
        <v>15.30000001224</v>
      </c>
      <c r="T115" s="47">
        <v>6.7483333387320004</v>
      </c>
      <c r="U115" s="25">
        <v>1.2653019333793998</v>
      </c>
      <c r="V115" s="175" t="s">
        <v>241</v>
      </c>
      <c r="W115" s="198" t="s">
        <v>224</v>
      </c>
      <c r="X115" s="26">
        <v>156</v>
      </c>
      <c r="Y115" s="27">
        <v>9.1999999999999993</v>
      </c>
      <c r="Z115" s="28">
        <v>0</v>
      </c>
      <c r="AA115" s="396">
        <v>0</v>
      </c>
      <c r="AB115" s="261" t="s">
        <v>308</v>
      </c>
      <c r="AC115" s="200"/>
    </row>
    <row r="116" spans="1:29" s="20" customFormat="1" x14ac:dyDescent="0.3">
      <c r="A116" s="370">
        <v>45771</v>
      </c>
      <c r="B116" s="37">
        <v>11.6</v>
      </c>
      <c r="C116" s="14">
        <v>24.1</v>
      </c>
      <c r="D116" s="14">
        <v>15.1</v>
      </c>
      <c r="E116" s="14">
        <v>24.5</v>
      </c>
      <c r="F116" s="14">
        <v>11.1</v>
      </c>
      <c r="G116" s="58">
        <f t="shared" si="4"/>
        <v>13.4</v>
      </c>
      <c r="H116" s="58">
        <f t="shared" si="5"/>
        <v>16.475000000000001</v>
      </c>
      <c r="I116" s="60">
        <v>16.266944444444434</v>
      </c>
      <c r="J116" s="165">
        <v>17.600000000000001</v>
      </c>
      <c r="K116" s="14">
        <v>10.4</v>
      </c>
      <c r="L116" s="50">
        <v>12.322986111111147</v>
      </c>
      <c r="M116" s="66">
        <v>97.7</v>
      </c>
      <c r="N116" s="24">
        <v>48.9</v>
      </c>
      <c r="O116" s="62">
        <v>79.728888888888676</v>
      </c>
      <c r="P116" s="377">
        <v>1011.54814300371</v>
      </c>
      <c r="Q116" s="21">
        <v>1006.44840258328</v>
      </c>
      <c r="R116" s="383">
        <v>1009.2404520919574</v>
      </c>
      <c r="S116" s="54">
        <v>7.8000000062400003</v>
      </c>
      <c r="T116" s="47">
        <v>5.3566666709520003</v>
      </c>
      <c r="U116" s="25">
        <v>1.3526729570569813</v>
      </c>
      <c r="V116" s="175" t="s">
        <v>241</v>
      </c>
      <c r="W116" s="198" t="s">
        <v>224</v>
      </c>
      <c r="X116" s="26">
        <v>12</v>
      </c>
      <c r="Y116" s="27">
        <v>2.2999999999999998</v>
      </c>
      <c r="Z116" s="28">
        <v>0</v>
      </c>
      <c r="AA116" s="396">
        <v>0</v>
      </c>
      <c r="AB116" s="261" t="s">
        <v>285</v>
      </c>
      <c r="AC116" s="200"/>
    </row>
    <row r="117" spans="1:29" s="20" customFormat="1" ht="28.8" x14ac:dyDescent="0.3">
      <c r="A117" s="370">
        <v>45772</v>
      </c>
      <c r="B117" s="37">
        <v>12.8</v>
      </c>
      <c r="C117" s="14">
        <v>21.8</v>
      </c>
      <c r="D117" s="14">
        <v>12.7</v>
      </c>
      <c r="E117" s="14">
        <v>23.8</v>
      </c>
      <c r="F117" s="14">
        <v>10.6</v>
      </c>
      <c r="G117" s="58">
        <f t="shared" si="4"/>
        <v>13.200000000000001</v>
      </c>
      <c r="H117" s="58">
        <f t="shared" si="5"/>
        <v>15</v>
      </c>
      <c r="I117" s="60">
        <v>14.669027777777792</v>
      </c>
      <c r="J117" s="165">
        <v>17.399999999999999</v>
      </c>
      <c r="K117" s="14">
        <v>9.8000000000000007</v>
      </c>
      <c r="L117" s="50">
        <v>12.518055555555515</v>
      </c>
      <c r="M117" s="66">
        <v>95.9</v>
      </c>
      <c r="N117" s="24">
        <v>61.9</v>
      </c>
      <c r="O117" s="62">
        <v>87.769583333332889</v>
      </c>
      <c r="P117" s="377">
        <v>1014.34021563982</v>
      </c>
      <c r="Q117" s="21">
        <v>1007.4324165824</v>
      </c>
      <c r="R117" s="383">
        <v>1009.9768805762159</v>
      </c>
      <c r="S117" s="54">
        <v>7.5000000059999996</v>
      </c>
      <c r="T117" s="47">
        <v>3.2600000026079998</v>
      </c>
      <c r="U117" s="25">
        <v>1.0935542616177438</v>
      </c>
      <c r="V117" s="175" t="s">
        <v>241</v>
      </c>
      <c r="W117" s="198" t="s">
        <v>224</v>
      </c>
      <c r="X117" s="26">
        <v>96</v>
      </c>
      <c r="Y117" s="27">
        <v>22</v>
      </c>
      <c r="Z117" s="28">
        <v>0</v>
      </c>
      <c r="AA117" s="396">
        <v>0</v>
      </c>
      <c r="AB117" s="261" t="s">
        <v>314</v>
      </c>
      <c r="AC117" s="200"/>
    </row>
    <row r="118" spans="1:29" s="20" customFormat="1" x14ac:dyDescent="0.3">
      <c r="A118" s="370">
        <v>45773</v>
      </c>
      <c r="B118" s="37">
        <v>9.4</v>
      </c>
      <c r="C118" s="14">
        <v>16.8</v>
      </c>
      <c r="D118" s="14">
        <v>7.8</v>
      </c>
      <c r="E118" s="14">
        <v>17.3</v>
      </c>
      <c r="F118" s="14">
        <v>3.7</v>
      </c>
      <c r="G118" s="58">
        <f t="shared" si="4"/>
        <v>13.600000000000001</v>
      </c>
      <c r="H118" s="58">
        <f t="shared" si="5"/>
        <v>10.450000000000001</v>
      </c>
      <c r="I118" s="60">
        <v>11.455246699096614</v>
      </c>
      <c r="J118" s="165">
        <v>10.1</v>
      </c>
      <c r="K118" s="14">
        <v>0.5</v>
      </c>
      <c r="L118" s="50">
        <v>6.4658790826963104</v>
      </c>
      <c r="M118" s="66">
        <v>95.7</v>
      </c>
      <c r="N118" s="24">
        <v>50.8</v>
      </c>
      <c r="O118" s="62">
        <v>73.197220291869527</v>
      </c>
      <c r="P118" s="377">
        <v>1024.32829614146</v>
      </c>
      <c r="Q118" s="21">
        <v>1014.14378950354</v>
      </c>
      <c r="R118" s="383">
        <v>1018.7053297206031</v>
      </c>
      <c r="S118" s="54">
        <v>13.900000011119999</v>
      </c>
      <c r="T118" s="47">
        <v>6.4066666717920011</v>
      </c>
      <c r="U118" s="25">
        <v>3.0296659428740003</v>
      </c>
      <c r="V118" s="175" t="s">
        <v>241</v>
      </c>
      <c r="W118" s="198"/>
      <c r="X118" s="26">
        <v>0</v>
      </c>
      <c r="Y118" s="27">
        <v>0</v>
      </c>
      <c r="Z118" s="28">
        <v>0</v>
      </c>
      <c r="AA118" s="396">
        <v>0</v>
      </c>
      <c r="AB118" s="261" t="s">
        <v>246</v>
      </c>
      <c r="AC118" s="200"/>
    </row>
    <row r="119" spans="1:29" s="20" customFormat="1" x14ac:dyDescent="0.3">
      <c r="A119" s="370">
        <v>45774</v>
      </c>
      <c r="B119" s="37">
        <v>7.5</v>
      </c>
      <c r="C119" s="14">
        <v>18.100000000000001</v>
      </c>
      <c r="D119" s="14">
        <v>7</v>
      </c>
      <c r="E119" s="14">
        <v>18.3</v>
      </c>
      <c r="F119" s="14">
        <v>0.3</v>
      </c>
      <c r="G119" s="58">
        <f t="shared" si="4"/>
        <v>18</v>
      </c>
      <c r="H119" s="58">
        <f t="shared" si="5"/>
        <v>9.9</v>
      </c>
      <c r="I119" s="60">
        <v>9.5443750000000023</v>
      </c>
      <c r="J119" s="165">
        <v>7.6</v>
      </c>
      <c r="K119" s="14">
        <v>-1.3</v>
      </c>
      <c r="L119" s="50">
        <v>2.6863194444444507</v>
      </c>
      <c r="M119" s="66">
        <v>95.3</v>
      </c>
      <c r="N119" s="24">
        <v>42</v>
      </c>
      <c r="O119" s="62">
        <v>65.158402777777724</v>
      </c>
      <c r="P119" s="377">
        <v>1028.3609476567201</v>
      </c>
      <c r="Q119" s="21">
        <v>1024.1322443440499</v>
      </c>
      <c r="R119" s="383">
        <v>1025.6348362960675</v>
      </c>
      <c r="S119" s="54">
        <v>9.2000000073599999</v>
      </c>
      <c r="T119" s="47">
        <v>5.9000000047200007</v>
      </c>
      <c r="U119" s="25">
        <v>1.7083774931658373</v>
      </c>
      <c r="V119" s="175" t="s">
        <v>241</v>
      </c>
      <c r="W119" s="198"/>
      <c r="X119" s="26">
        <v>0</v>
      </c>
      <c r="Y119" s="27">
        <v>0</v>
      </c>
      <c r="Z119" s="28">
        <v>0</v>
      </c>
      <c r="AA119" s="396">
        <v>0</v>
      </c>
      <c r="AB119" s="261" t="s">
        <v>248</v>
      </c>
      <c r="AC119" s="200"/>
    </row>
    <row r="120" spans="1:29" s="20" customFormat="1" x14ac:dyDescent="0.3">
      <c r="A120" s="370">
        <v>45775</v>
      </c>
      <c r="B120" s="37">
        <v>4.0999999999999996</v>
      </c>
      <c r="C120" s="14">
        <v>21.1</v>
      </c>
      <c r="D120" s="14">
        <v>9.8000000000000007</v>
      </c>
      <c r="E120" s="14">
        <v>21.8</v>
      </c>
      <c r="F120" s="14">
        <v>-1.5</v>
      </c>
      <c r="G120" s="58">
        <f t="shared" si="4"/>
        <v>23.3</v>
      </c>
      <c r="H120" s="58">
        <f t="shared" si="5"/>
        <v>11.200000000000001</v>
      </c>
      <c r="I120" s="60">
        <v>10.758958333333332</v>
      </c>
      <c r="J120" s="165">
        <v>10.4</v>
      </c>
      <c r="K120" s="14">
        <v>-3.1</v>
      </c>
      <c r="L120" s="50">
        <v>3.9940972222222166</v>
      </c>
      <c r="M120" s="66">
        <v>93.7</v>
      </c>
      <c r="N120" s="24">
        <v>39.5</v>
      </c>
      <c r="O120" s="62">
        <v>66.423680555555492</v>
      </c>
      <c r="P120" s="377">
        <v>1029.11348794898</v>
      </c>
      <c r="Q120" s="21">
        <v>1022.9263809515001</v>
      </c>
      <c r="R120" s="383">
        <v>1026.0823577961471</v>
      </c>
      <c r="S120" s="54">
        <v>5.8000000046400002</v>
      </c>
      <c r="T120" s="47">
        <v>3.4300000027439999</v>
      </c>
      <c r="U120" s="25">
        <v>1.1793603945474243</v>
      </c>
      <c r="V120" s="175" t="s">
        <v>241</v>
      </c>
      <c r="W120" s="198"/>
      <c r="X120" s="26">
        <v>0</v>
      </c>
      <c r="Y120" s="27">
        <v>0</v>
      </c>
      <c r="Z120" s="28">
        <v>0</v>
      </c>
      <c r="AA120" s="396">
        <v>0</v>
      </c>
      <c r="AB120" s="261" t="s">
        <v>248</v>
      </c>
      <c r="AC120" s="200"/>
    </row>
    <row r="121" spans="1:29" s="20" customFormat="1" x14ac:dyDescent="0.3">
      <c r="A121" s="370">
        <v>45776</v>
      </c>
      <c r="B121" s="37">
        <v>7.1</v>
      </c>
      <c r="C121" s="14">
        <v>23.4</v>
      </c>
      <c r="D121" s="14">
        <v>12.8</v>
      </c>
      <c r="E121" s="14">
        <v>24</v>
      </c>
      <c r="F121" s="14">
        <v>1.8</v>
      </c>
      <c r="G121" s="58">
        <f t="shared" si="4"/>
        <v>22.2</v>
      </c>
      <c r="H121" s="58">
        <f t="shared" si="5"/>
        <v>14.025</v>
      </c>
      <c r="I121" s="60">
        <v>13.598471160528138</v>
      </c>
      <c r="J121" s="165">
        <v>13.3</v>
      </c>
      <c r="K121" s="14">
        <v>0.2</v>
      </c>
      <c r="L121" s="50">
        <v>7.5437109103543971</v>
      </c>
      <c r="M121" s="66">
        <v>94</v>
      </c>
      <c r="N121" s="24">
        <v>42.4</v>
      </c>
      <c r="O121" s="62">
        <v>70.053926337734623</v>
      </c>
      <c r="P121" s="377">
        <v>1025.8347584598901</v>
      </c>
      <c r="Q121" s="21">
        <v>1018.75782665538</v>
      </c>
      <c r="R121" s="383">
        <v>1022.3847379489764</v>
      </c>
      <c r="S121" s="54">
        <v>4.8000000038400001</v>
      </c>
      <c r="T121" s="47">
        <v>3.5000000028000002</v>
      </c>
      <c r="U121" s="25">
        <v>0.9898766335930641</v>
      </c>
      <c r="V121" s="175" t="s">
        <v>241</v>
      </c>
      <c r="W121" s="198"/>
      <c r="X121" s="26">
        <v>0</v>
      </c>
      <c r="Y121" s="27">
        <v>0</v>
      </c>
      <c r="Z121" s="28">
        <v>0</v>
      </c>
      <c r="AA121" s="396">
        <v>0</v>
      </c>
      <c r="AB121" s="261" t="s">
        <v>262</v>
      </c>
      <c r="AC121" s="200"/>
    </row>
    <row r="122" spans="1:29" s="257" customFormat="1" ht="15" thickBot="1" x14ac:dyDescent="0.35">
      <c r="A122" s="370">
        <v>45777</v>
      </c>
      <c r="B122" s="38">
        <v>12.2</v>
      </c>
      <c r="C122" s="22">
        <v>24.2</v>
      </c>
      <c r="D122" s="22">
        <v>11.3</v>
      </c>
      <c r="E122" s="22">
        <v>25</v>
      </c>
      <c r="F122" s="22">
        <v>6.7</v>
      </c>
      <c r="G122" s="256">
        <f t="shared" si="4"/>
        <v>18.3</v>
      </c>
      <c r="H122" s="256">
        <f>(B122+C122+2*D122)/4</f>
        <v>14.75</v>
      </c>
      <c r="I122" s="61">
        <v>15.215902777777794</v>
      </c>
      <c r="J122" s="166">
        <v>15</v>
      </c>
      <c r="K122" s="22">
        <v>4.7</v>
      </c>
      <c r="L122" s="256">
        <v>9.1304861111111126</v>
      </c>
      <c r="M122" s="67">
        <v>93.2</v>
      </c>
      <c r="N122" s="52">
        <v>47</v>
      </c>
      <c r="O122" s="63">
        <v>69.582986111111012</v>
      </c>
      <c r="P122" s="381">
        <v>1021.9272527462</v>
      </c>
      <c r="Q122" s="53">
        <v>1017.60827182273</v>
      </c>
      <c r="R122" s="388">
        <v>1019.8542514229121</v>
      </c>
      <c r="S122" s="56">
        <v>6.10000000488</v>
      </c>
      <c r="T122" s="49">
        <v>3.6300000029040005</v>
      </c>
      <c r="U122" s="39">
        <v>1.1105696978581556</v>
      </c>
      <c r="V122" s="176" t="s">
        <v>241</v>
      </c>
      <c r="W122" s="199"/>
      <c r="X122" s="26">
        <v>0</v>
      </c>
      <c r="Y122" s="27">
        <v>0</v>
      </c>
      <c r="Z122" s="28">
        <v>0</v>
      </c>
      <c r="AA122" s="396">
        <v>0</v>
      </c>
      <c r="AB122" s="262" t="s">
        <v>280</v>
      </c>
      <c r="AC122" s="404"/>
    </row>
    <row r="123" spans="1:29" s="326" customFormat="1" x14ac:dyDescent="0.3">
      <c r="A123" s="370">
        <v>45778</v>
      </c>
      <c r="B123" s="313"/>
      <c r="C123" s="314"/>
      <c r="D123" s="314"/>
      <c r="E123" s="314"/>
      <c r="F123" s="314"/>
      <c r="G123" s="315"/>
      <c r="H123" s="315"/>
      <c r="I123" s="316"/>
      <c r="J123" s="336"/>
      <c r="K123" s="314"/>
      <c r="L123" s="315"/>
      <c r="M123" s="317"/>
      <c r="N123" s="318"/>
      <c r="O123" s="319"/>
      <c r="P123" s="380"/>
      <c r="Q123" s="320"/>
      <c r="R123" s="386"/>
      <c r="S123" s="290"/>
      <c r="T123" s="291"/>
      <c r="U123" s="291"/>
      <c r="V123" s="292"/>
      <c r="W123" s="335"/>
      <c r="X123" s="84">
        <v>0</v>
      </c>
      <c r="Y123" s="85">
        <v>0</v>
      </c>
      <c r="Z123" s="86">
        <v>0</v>
      </c>
      <c r="AA123" s="393">
        <v>0</v>
      </c>
      <c r="AB123" s="325" t="s">
        <v>252</v>
      </c>
      <c r="AC123" s="402"/>
    </row>
    <row r="124" spans="1:29" s="20" customFormat="1" x14ac:dyDescent="0.3">
      <c r="A124" s="370">
        <v>45779</v>
      </c>
      <c r="B124" s="37"/>
      <c r="C124" s="14"/>
      <c r="D124" s="14"/>
      <c r="E124" s="14"/>
      <c r="F124" s="14"/>
      <c r="G124" s="58"/>
      <c r="H124" s="58"/>
      <c r="I124" s="60"/>
      <c r="J124" s="165"/>
      <c r="K124" s="14"/>
      <c r="L124" s="50"/>
      <c r="M124" s="66"/>
      <c r="N124" s="24"/>
      <c r="O124" s="62"/>
      <c r="P124" s="377"/>
      <c r="Q124" s="21"/>
      <c r="R124" s="383"/>
      <c r="S124" s="54"/>
      <c r="T124" s="47"/>
      <c r="U124" s="25"/>
      <c r="V124" s="175"/>
      <c r="W124" s="196"/>
      <c r="X124" s="16"/>
      <c r="Y124" s="17"/>
      <c r="Z124" s="18"/>
      <c r="AA124" s="394"/>
      <c r="AB124" s="260" t="s">
        <v>315</v>
      </c>
      <c r="AC124" s="200"/>
    </row>
    <row r="125" spans="1:29" s="20" customFormat="1" x14ac:dyDescent="0.3">
      <c r="A125" s="370">
        <v>45780</v>
      </c>
      <c r="B125" s="37"/>
      <c r="C125" s="14"/>
      <c r="D125" s="14"/>
      <c r="E125" s="14"/>
      <c r="F125" s="14"/>
      <c r="G125" s="58"/>
      <c r="H125" s="58"/>
      <c r="I125" s="60"/>
      <c r="J125" s="165"/>
      <c r="K125" s="14"/>
      <c r="L125" s="50"/>
      <c r="M125" s="66"/>
      <c r="N125" s="24"/>
      <c r="O125" s="62"/>
      <c r="P125" s="377"/>
      <c r="Q125" s="21"/>
      <c r="R125" s="383"/>
      <c r="S125" s="54"/>
      <c r="T125" s="47"/>
      <c r="U125" s="25"/>
      <c r="V125" s="175"/>
      <c r="W125" s="196"/>
      <c r="X125" s="16"/>
      <c r="Y125" s="17"/>
      <c r="Z125" s="18"/>
      <c r="AA125" s="394"/>
      <c r="AB125" s="260"/>
      <c r="AC125" s="200"/>
    </row>
    <row r="126" spans="1:29" s="20" customFormat="1" x14ac:dyDescent="0.3">
      <c r="A126" s="370">
        <v>45781</v>
      </c>
      <c r="B126" s="37"/>
      <c r="C126" s="14"/>
      <c r="D126" s="14"/>
      <c r="E126" s="14"/>
      <c r="F126" s="14"/>
      <c r="G126" s="58"/>
      <c r="H126" s="58"/>
      <c r="I126" s="60"/>
      <c r="J126" s="165"/>
      <c r="K126" s="14"/>
      <c r="L126" s="50"/>
      <c r="M126" s="66"/>
      <c r="N126" s="24"/>
      <c r="O126" s="62"/>
      <c r="P126" s="377"/>
      <c r="Q126" s="21"/>
      <c r="R126" s="383"/>
      <c r="S126" s="55"/>
      <c r="T126" s="48"/>
      <c r="U126" s="19"/>
      <c r="V126" s="175"/>
      <c r="W126" s="197"/>
      <c r="X126" s="16"/>
      <c r="Y126" s="17"/>
      <c r="Z126" s="18"/>
      <c r="AA126" s="394"/>
      <c r="AB126" s="260"/>
      <c r="AC126" s="200"/>
    </row>
    <row r="127" spans="1:29" s="20" customFormat="1" x14ac:dyDescent="0.3">
      <c r="A127" s="370">
        <v>45782</v>
      </c>
      <c r="B127" s="37"/>
      <c r="C127" s="14"/>
      <c r="D127" s="14"/>
      <c r="E127" s="14"/>
      <c r="F127" s="14"/>
      <c r="G127" s="58"/>
      <c r="H127" s="58"/>
      <c r="I127" s="60"/>
      <c r="J127" s="165"/>
      <c r="K127" s="14"/>
      <c r="L127" s="50"/>
      <c r="M127" s="66"/>
      <c r="N127" s="24"/>
      <c r="O127" s="62"/>
      <c r="P127" s="377"/>
      <c r="Q127" s="21"/>
      <c r="R127" s="383"/>
      <c r="S127" s="54"/>
      <c r="T127" s="47"/>
      <c r="U127" s="25"/>
      <c r="V127" s="175"/>
      <c r="W127" s="197"/>
      <c r="X127" s="16"/>
      <c r="Y127" s="17"/>
      <c r="Z127" s="18"/>
      <c r="AA127" s="394"/>
      <c r="AB127" s="260"/>
      <c r="AC127" s="200"/>
    </row>
    <row r="128" spans="1:29" s="20" customFormat="1" x14ac:dyDescent="0.3">
      <c r="A128" s="370">
        <v>45783</v>
      </c>
      <c r="B128" s="37"/>
      <c r="C128" s="14"/>
      <c r="D128" s="14"/>
      <c r="E128" s="14"/>
      <c r="F128" s="14"/>
      <c r="G128" s="58"/>
      <c r="H128" s="58"/>
      <c r="I128" s="60"/>
      <c r="J128" s="165"/>
      <c r="K128" s="14"/>
      <c r="L128" s="50"/>
      <c r="M128" s="66"/>
      <c r="N128" s="24"/>
      <c r="O128" s="62"/>
      <c r="P128" s="377"/>
      <c r="Q128" s="21"/>
      <c r="R128" s="383"/>
      <c r="S128" s="54"/>
      <c r="T128" s="47"/>
      <c r="U128" s="25"/>
      <c r="V128" s="175"/>
      <c r="W128" s="197"/>
      <c r="X128" s="16"/>
      <c r="Y128" s="17"/>
      <c r="Z128" s="18"/>
      <c r="AA128" s="394"/>
      <c r="AB128" s="260"/>
      <c r="AC128" s="200"/>
    </row>
    <row r="129" spans="1:29" s="20" customFormat="1" x14ac:dyDescent="0.3">
      <c r="A129" s="370">
        <v>45784</v>
      </c>
      <c r="B129" s="37"/>
      <c r="C129" s="14"/>
      <c r="D129" s="14"/>
      <c r="E129" s="14"/>
      <c r="F129" s="14"/>
      <c r="G129" s="58"/>
      <c r="H129" s="58"/>
      <c r="I129" s="60"/>
      <c r="J129" s="165"/>
      <c r="K129" s="14"/>
      <c r="L129" s="50"/>
      <c r="M129" s="66"/>
      <c r="N129" s="24"/>
      <c r="O129" s="62"/>
      <c r="P129" s="377"/>
      <c r="Q129" s="21"/>
      <c r="R129" s="383"/>
      <c r="S129" s="54"/>
      <c r="T129" s="47"/>
      <c r="U129" s="25"/>
      <c r="V129" s="175"/>
      <c r="W129" s="197"/>
      <c r="X129" s="16"/>
      <c r="Y129" s="17"/>
      <c r="Z129" s="18"/>
      <c r="AA129" s="394"/>
      <c r="AB129" s="260"/>
      <c r="AC129" s="200"/>
    </row>
    <row r="130" spans="1:29" s="20" customFormat="1" x14ac:dyDescent="0.3">
      <c r="A130" s="370">
        <v>45785</v>
      </c>
      <c r="B130" s="37"/>
      <c r="C130" s="14"/>
      <c r="D130" s="14"/>
      <c r="E130" s="14"/>
      <c r="F130" s="14"/>
      <c r="G130" s="58"/>
      <c r="H130" s="58"/>
      <c r="I130" s="60"/>
      <c r="J130" s="165"/>
      <c r="K130" s="14"/>
      <c r="L130" s="50"/>
      <c r="M130" s="66"/>
      <c r="N130" s="24"/>
      <c r="O130" s="62"/>
      <c r="P130" s="377"/>
      <c r="Q130" s="21"/>
      <c r="R130" s="383"/>
      <c r="S130" s="54"/>
      <c r="T130" s="47"/>
      <c r="U130" s="25"/>
      <c r="V130" s="175"/>
      <c r="W130" s="197"/>
      <c r="X130" s="16"/>
      <c r="Y130" s="17"/>
      <c r="Z130" s="18"/>
      <c r="AA130" s="394"/>
      <c r="AB130" s="260"/>
      <c r="AC130" s="200"/>
    </row>
    <row r="131" spans="1:29" s="20" customFormat="1" x14ac:dyDescent="0.3">
      <c r="A131" s="370">
        <v>45786</v>
      </c>
      <c r="B131" s="37"/>
      <c r="C131" s="14"/>
      <c r="D131" s="14"/>
      <c r="E131" s="14"/>
      <c r="F131" s="14"/>
      <c r="G131" s="58"/>
      <c r="H131" s="58"/>
      <c r="I131" s="60"/>
      <c r="J131" s="165"/>
      <c r="K131" s="14"/>
      <c r="L131" s="50"/>
      <c r="M131" s="66"/>
      <c r="N131" s="24"/>
      <c r="O131" s="62"/>
      <c r="P131" s="377"/>
      <c r="Q131" s="21"/>
      <c r="R131" s="383"/>
      <c r="S131" s="54"/>
      <c r="T131" s="47"/>
      <c r="U131" s="25"/>
      <c r="V131" s="175"/>
      <c r="W131" s="197"/>
      <c r="X131" s="16"/>
      <c r="Y131" s="17"/>
      <c r="Z131" s="18"/>
      <c r="AA131" s="394"/>
      <c r="AB131" s="260"/>
      <c r="AC131" s="200"/>
    </row>
    <row r="132" spans="1:29" s="20" customFormat="1" x14ac:dyDescent="0.3">
      <c r="A132" s="370">
        <v>45787</v>
      </c>
      <c r="B132" s="37"/>
      <c r="C132" s="14"/>
      <c r="D132" s="14"/>
      <c r="E132" s="14"/>
      <c r="F132" s="14"/>
      <c r="G132" s="58"/>
      <c r="H132" s="58"/>
      <c r="I132" s="60"/>
      <c r="J132" s="165"/>
      <c r="K132" s="14"/>
      <c r="L132" s="50"/>
      <c r="M132" s="66"/>
      <c r="N132" s="24"/>
      <c r="O132" s="62"/>
      <c r="P132" s="377"/>
      <c r="Q132" s="21"/>
      <c r="R132" s="383"/>
      <c r="S132" s="54"/>
      <c r="T132" s="47"/>
      <c r="U132" s="25"/>
      <c r="V132" s="175"/>
      <c r="W132" s="197"/>
      <c r="X132" s="16"/>
      <c r="Y132" s="17"/>
      <c r="Z132" s="18"/>
      <c r="AA132" s="394"/>
      <c r="AB132" s="260"/>
      <c r="AC132" s="200"/>
    </row>
    <row r="133" spans="1:29" s="20" customFormat="1" x14ac:dyDescent="0.3">
      <c r="A133" s="370">
        <v>45788</v>
      </c>
      <c r="B133" s="37"/>
      <c r="C133" s="14"/>
      <c r="D133" s="14"/>
      <c r="E133" s="14"/>
      <c r="F133" s="14"/>
      <c r="G133" s="58"/>
      <c r="H133" s="58"/>
      <c r="I133" s="60"/>
      <c r="J133" s="165"/>
      <c r="K133" s="14"/>
      <c r="L133" s="50"/>
      <c r="M133" s="66"/>
      <c r="N133" s="24"/>
      <c r="O133" s="62"/>
      <c r="P133" s="377"/>
      <c r="Q133" s="21"/>
      <c r="R133" s="383"/>
      <c r="S133" s="54"/>
      <c r="T133" s="47"/>
      <c r="U133" s="25"/>
      <c r="V133" s="175"/>
      <c r="W133" s="197"/>
      <c r="X133" s="16"/>
      <c r="Y133" s="17"/>
      <c r="Z133" s="18"/>
      <c r="AA133" s="394"/>
      <c r="AB133" s="260"/>
      <c r="AC133" s="200"/>
    </row>
    <row r="134" spans="1:29" s="20" customFormat="1" x14ac:dyDescent="0.3">
      <c r="A134" s="370">
        <v>45789</v>
      </c>
      <c r="B134" s="37"/>
      <c r="C134" s="14"/>
      <c r="D134" s="14"/>
      <c r="E134" s="14"/>
      <c r="F134" s="14"/>
      <c r="G134" s="58"/>
      <c r="H134" s="58"/>
      <c r="I134" s="60"/>
      <c r="J134" s="165"/>
      <c r="K134" s="14"/>
      <c r="L134" s="50"/>
      <c r="M134" s="66"/>
      <c r="N134" s="24"/>
      <c r="O134" s="62"/>
      <c r="P134" s="377"/>
      <c r="Q134" s="21"/>
      <c r="R134" s="383"/>
      <c r="S134" s="54"/>
      <c r="T134" s="47"/>
      <c r="U134" s="25"/>
      <c r="V134" s="175"/>
      <c r="W134" s="197"/>
      <c r="X134" s="16"/>
      <c r="Y134" s="17"/>
      <c r="Z134" s="18"/>
      <c r="AA134" s="394"/>
      <c r="AB134" s="260"/>
      <c r="AC134" s="200"/>
    </row>
    <row r="135" spans="1:29" s="20" customFormat="1" x14ac:dyDescent="0.3">
      <c r="A135" s="370">
        <v>45790</v>
      </c>
      <c r="B135" s="37"/>
      <c r="C135" s="14"/>
      <c r="D135" s="14"/>
      <c r="E135" s="14"/>
      <c r="F135" s="14"/>
      <c r="G135" s="58"/>
      <c r="H135" s="58"/>
      <c r="I135" s="60"/>
      <c r="J135" s="165"/>
      <c r="K135" s="14"/>
      <c r="L135" s="50"/>
      <c r="M135" s="66"/>
      <c r="N135" s="24"/>
      <c r="O135" s="62"/>
      <c r="P135" s="377"/>
      <c r="Q135" s="21"/>
      <c r="R135" s="383"/>
      <c r="S135" s="54"/>
      <c r="T135" s="47"/>
      <c r="U135" s="25"/>
      <c r="V135" s="175"/>
      <c r="W135" s="198"/>
      <c r="X135" s="26"/>
      <c r="Y135" s="27"/>
      <c r="Z135" s="28"/>
      <c r="AA135" s="396"/>
      <c r="AB135" s="261"/>
      <c r="AC135" s="200"/>
    </row>
    <row r="136" spans="1:29" s="20" customFormat="1" x14ac:dyDescent="0.3">
      <c r="A136" s="370">
        <v>45791</v>
      </c>
      <c r="B136" s="37"/>
      <c r="C136" s="14"/>
      <c r="D136" s="14"/>
      <c r="E136" s="14"/>
      <c r="F136" s="14"/>
      <c r="G136" s="58"/>
      <c r="H136" s="58"/>
      <c r="I136" s="60"/>
      <c r="J136" s="165"/>
      <c r="K136" s="14"/>
      <c r="L136" s="50"/>
      <c r="M136" s="66"/>
      <c r="N136" s="24"/>
      <c r="O136" s="62"/>
      <c r="P136" s="377"/>
      <c r="Q136" s="21"/>
      <c r="R136" s="383"/>
      <c r="S136" s="54"/>
      <c r="T136" s="47"/>
      <c r="U136" s="25"/>
      <c r="V136" s="175"/>
      <c r="W136" s="198"/>
      <c r="X136" s="26"/>
      <c r="Y136" s="27"/>
      <c r="Z136" s="28"/>
      <c r="AA136" s="396"/>
      <c r="AB136" s="261"/>
      <c r="AC136" s="200"/>
    </row>
    <row r="137" spans="1:29" s="20" customFormat="1" x14ac:dyDescent="0.3">
      <c r="A137" s="370">
        <v>45792</v>
      </c>
      <c r="B137" s="37"/>
      <c r="C137" s="14"/>
      <c r="D137" s="14"/>
      <c r="E137" s="14"/>
      <c r="F137" s="14"/>
      <c r="G137" s="58"/>
      <c r="H137" s="58"/>
      <c r="I137" s="60"/>
      <c r="J137" s="165"/>
      <c r="K137" s="14"/>
      <c r="L137" s="50"/>
      <c r="M137" s="66"/>
      <c r="N137" s="24"/>
      <c r="O137" s="62"/>
      <c r="P137" s="377"/>
      <c r="Q137" s="21"/>
      <c r="R137" s="383"/>
      <c r="S137" s="54"/>
      <c r="T137" s="47"/>
      <c r="U137" s="25"/>
      <c r="V137" s="175"/>
      <c r="W137" s="198"/>
      <c r="X137" s="26"/>
      <c r="Y137" s="27"/>
      <c r="Z137" s="28"/>
      <c r="AA137" s="396"/>
      <c r="AB137" s="261"/>
      <c r="AC137" s="200"/>
    </row>
    <row r="138" spans="1:29" s="20" customFormat="1" x14ac:dyDescent="0.3">
      <c r="A138" s="370">
        <v>45793</v>
      </c>
      <c r="B138" s="37"/>
      <c r="C138" s="14"/>
      <c r="D138" s="14"/>
      <c r="E138" s="14"/>
      <c r="F138" s="14"/>
      <c r="G138" s="58"/>
      <c r="H138" s="58"/>
      <c r="I138" s="60"/>
      <c r="J138" s="165"/>
      <c r="K138" s="14"/>
      <c r="L138" s="50"/>
      <c r="M138" s="66"/>
      <c r="N138" s="24"/>
      <c r="O138" s="62"/>
      <c r="P138" s="377"/>
      <c r="Q138" s="21"/>
      <c r="R138" s="383"/>
      <c r="S138" s="54"/>
      <c r="T138" s="47"/>
      <c r="U138" s="25"/>
      <c r="V138" s="175"/>
      <c r="W138" s="198"/>
      <c r="X138" s="26"/>
      <c r="Y138" s="27"/>
      <c r="Z138" s="28"/>
      <c r="AA138" s="396"/>
      <c r="AB138" s="261"/>
      <c r="AC138" s="200"/>
    </row>
    <row r="139" spans="1:29" s="20" customFormat="1" x14ac:dyDescent="0.3">
      <c r="A139" s="370">
        <v>45794</v>
      </c>
      <c r="B139" s="37"/>
      <c r="C139" s="14"/>
      <c r="D139" s="14"/>
      <c r="E139" s="14"/>
      <c r="F139" s="14"/>
      <c r="G139" s="58"/>
      <c r="H139" s="58"/>
      <c r="I139" s="60"/>
      <c r="J139" s="165"/>
      <c r="K139" s="14"/>
      <c r="L139" s="50"/>
      <c r="M139" s="66"/>
      <c r="N139" s="24"/>
      <c r="O139" s="62"/>
      <c r="P139" s="377"/>
      <c r="Q139" s="21"/>
      <c r="R139" s="383"/>
      <c r="S139" s="54"/>
      <c r="T139" s="47"/>
      <c r="U139" s="25"/>
      <c r="V139" s="175"/>
      <c r="W139" s="198"/>
      <c r="X139" s="26"/>
      <c r="Y139" s="27"/>
      <c r="Z139" s="28"/>
      <c r="AA139" s="396"/>
      <c r="AB139" s="261"/>
      <c r="AC139" s="200"/>
    </row>
    <row r="140" spans="1:29" s="20" customFormat="1" x14ac:dyDescent="0.3">
      <c r="A140" s="370">
        <v>45795</v>
      </c>
      <c r="B140" s="37"/>
      <c r="C140" s="14"/>
      <c r="D140" s="14"/>
      <c r="E140" s="14"/>
      <c r="F140" s="14"/>
      <c r="G140" s="58"/>
      <c r="H140" s="58"/>
      <c r="I140" s="60"/>
      <c r="J140" s="165"/>
      <c r="K140" s="14"/>
      <c r="L140" s="50"/>
      <c r="M140" s="66"/>
      <c r="N140" s="24"/>
      <c r="O140" s="62"/>
      <c r="P140" s="377"/>
      <c r="Q140" s="21"/>
      <c r="R140" s="383"/>
      <c r="S140" s="54"/>
      <c r="T140" s="47"/>
      <c r="U140" s="25"/>
      <c r="V140" s="175"/>
      <c r="W140" s="198"/>
      <c r="X140" s="26"/>
      <c r="Y140" s="27"/>
      <c r="Z140" s="28"/>
      <c r="AA140" s="396"/>
      <c r="AB140" s="261"/>
      <c r="AC140" s="200"/>
    </row>
    <row r="141" spans="1:29" s="20" customFormat="1" x14ac:dyDescent="0.3">
      <c r="A141" s="370">
        <v>45796</v>
      </c>
      <c r="B141" s="37"/>
      <c r="C141" s="14"/>
      <c r="D141" s="14"/>
      <c r="E141" s="14"/>
      <c r="F141" s="14"/>
      <c r="G141" s="58"/>
      <c r="H141" s="58"/>
      <c r="I141" s="60"/>
      <c r="J141" s="165"/>
      <c r="K141" s="14"/>
      <c r="L141" s="50"/>
      <c r="M141" s="66"/>
      <c r="N141" s="24"/>
      <c r="O141" s="62"/>
      <c r="P141" s="377"/>
      <c r="Q141" s="21"/>
      <c r="R141" s="383"/>
      <c r="S141" s="54"/>
      <c r="T141" s="47"/>
      <c r="U141" s="25"/>
      <c r="V141" s="175"/>
      <c r="W141" s="198"/>
      <c r="X141" s="26"/>
      <c r="Y141" s="27"/>
      <c r="Z141" s="28"/>
      <c r="AA141" s="396"/>
      <c r="AB141" s="261"/>
      <c r="AC141" s="200"/>
    </row>
    <row r="142" spans="1:29" s="20" customFormat="1" x14ac:dyDescent="0.3">
      <c r="A142" s="370">
        <v>45797</v>
      </c>
      <c r="B142" s="37"/>
      <c r="C142" s="14"/>
      <c r="D142" s="14"/>
      <c r="E142" s="14"/>
      <c r="F142" s="14"/>
      <c r="G142" s="58"/>
      <c r="H142" s="58"/>
      <c r="I142" s="60"/>
      <c r="J142" s="165"/>
      <c r="K142" s="14"/>
      <c r="L142" s="50"/>
      <c r="M142" s="66"/>
      <c r="N142" s="24"/>
      <c r="O142" s="62"/>
      <c r="P142" s="377"/>
      <c r="Q142" s="21"/>
      <c r="R142" s="383"/>
      <c r="S142" s="54"/>
      <c r="T142" s="47"/>
      <c r="U142" s="25"/>
      <c r="V142" s="175"/>
      <c r="W142" s="198"/>
      <c r="X142" s="26"/>
      <c r="Y142" s="27"/>
      <c r="Z142" s="28"/>
      <c r="AA142" s="396"/>
      <c r="AB142" s="261"/>
      <c r="AC142" s="200"/>
    </row>
    <row r="143" spans="1:29" s="20" customFormat="1" x14ac:dyDescent="0.3">
      <c r="A143" s="370">
        <v>45798</v>
      </c>
      <c r="B143" s="37"/>
      <c r="C143" s="14"/>
      <c r="D143" s="14"/>
      <c r="E143" s="14"/>
      <c r="F143" s="14"/>
      <c r="G143" s="58"/>
      <c r="H143" s="58"/>
      <c r="I143" s="60"/>
      <c r="J143" s="165"/>
      <c r="K143" s="14"/>
      <c r="L143" s="50"/>
      <c r="M143" s="66"/>
      <c r="N143" s="24"/>
      <c r="O143" s="62"/>
      <c r="P143" s="377"/>
      <c r="Q143" s="21"/>
      <c r="R143" s="383"/>
      <c r="S143" s="54"/>
      <c r="T143" s="47"/>
      <c r="U143" s="25"/>
      <c r="V143" s="175"/>
      <c r="W143" s="198"/>
      <c r="X143" s="26"/>
      <c r="Y143" s="27"/>
      <c r="Z143" s="28"/>
      <c r="AA143" s="396"/>
      <c r="AB143" s="261"/>
      <c r="AC143" s="200"/>
    </row>
    <row r="144" spans="1:29" s="20" customFormat="1" x14ac:dyDescent="0.3">
      <c r="A144" s="370">
        <v>45799</v>
      </c>
      <c r="B144" s="37"/>
      <c r="C144" s="14"/>
      <c r="D144" s="14"/>
      <c r="E144" s="14"/>
      <c r="F144" s="14"/>
      <c r="G144" s="58"/>
      <c r="H144" s="58"/>
      <c r="I144" s="60"/>
      <c r="J144" s="165"/>
      <c r="K144" s="14"/>
      <c r="L144" s="50"/>
      <c r="M144" s="66"/>
      <c r="N144" s="24"/>
      <c r="O144" s="62"/>
      <c r="P144" s="377"/>
      <c r="Q144" s="21"/>
      <c r="R144" s="383"/>
      <c r="S144" s="54"/>
      <c r="T144" s="47"/>
      <c r="U144" s="25"/>
      <c r="V144" s="175"/>
      <c r="W144" s="198"/>
      <c r="X144" s="26"/>
      <c r="Y144" s="27"/>
      <c r="Z144" s="28"/>
      <c r="AA144" s="396"/>
      <c r="AB144" s="261"/>
      <c r="AC144" s="200"/>
    </row>
    <row r="145" spans="1:29" s="20" customFormat="1" x14ac:dyDescent="0.3">
      <c r="A145" s="370">
        <v>45800</v>
      </c>
      <c r="B145" s="37"/>
      <c r="C145" s="14"/>
      <c r="D145" s="14"/>
      <c r="E145" s="14"/>
      <c r="F145" s="14"/>
      <c r="G145" s="58"/>
      <c r="H145" s="58"/>
      <c r="I145" s="60"/>
      <c r="J145" s="165"/>
      <c r="K145" s="14"/>
      <c r="L145" s="50"/>
      <c r="M145" s="66"/>
      <c r="N145" s="24"/>
      <c r="O145" s="62"/>
      <c r="P145" s="377"/>
      <c r="Q145" s="21"/>
      <c r="R145" s="383"/>
      <c r="S145" s="54"/>
      <c r="T145" s="47"/>
      <c r="U145" s="25"/>
      <c r="V145" s="175"/>
      <c r="W145" s="198"/>
      <c r="X145" s="26"/>
      <c r="Y145" s="27"/>
      <c r="Z145" s="28"/>
      <c r="AA145" s="396"/>
      <c r="AB145" s="261"/>
      <c r="AC145" s="200"/>
    </row>
    <row r="146" spans="1:29" s="20" customFormat="1" x14ac:dyDescent="0.3">
      <c r="A146" s="370">
        <v>45801</v>
      </c>
      <c r="B146" s="37"/>
      <c r="C146" s="14"/>
      <c r="D146" s="14"/>
      <c r="E146" s="14"/>
      <c r="F146" s="14"/>
      <c r="G146" s="58"/>
      <c r="H146" s="58"/>
      <c r="I146" s="60"/>
      <c r="J146" s="165"/>
      <c r="K146" s="14"/>
      <c r="L146" s="50"/>
      <c r="M146" s="66"/>
      <c r="N146" s="24"/>
      <c r="O146" s="62"/>
      <c r="P146" s="377"/>
      <c r="Q146" s="21"/>
      <c r="R146" s="383"/>
      <c r="S146" s="54"/>
      <c r="T146" s="47"/>
      <c r="U146" s="25"/>
      <c r="V146" s="175"/>
      <c r="W146" s="198"/>
      <c r="X146" s="26"/>
      <c r="Y146" s="27"/>
      <c r="Z146" s="28"/>
      <c r="AA146" s="396"/>
      <c r="AB146" s="263"/>
      <c r="AC146" s="200"/>
    </row>
    <row r="147" spans="1:29" s="20" customFormat="1" x14ac:dyDescent="0.3">
      <c r="A147" s="370">
        <v>45802</v>
      </c>
      <c r="B147" s="37"/>
      <c r="C147" s="14"/>
      <c r="D147" s="14"/>
      <c r="E147" s="14"/>
      <c r="F147" s="14"/>
      <c r="G147" s="58"/>
      <c r="H147" s="58"/>
      <c r="I147" s="60"/>
      <c r="J147" s="165"/>
      <c r="K147" s="14"/>
      <c r="L147" s="50"/>
      <c r="M147" s="66"/>
      <c r="N147" s="24"/>
      <c r="O147" s="62"/>
      <c r="P147" s="377"/>
      <c r="Q147" s="21"/>
      <c r="R147" s="383"/>
      <c r="S147" s="54"/>
      <c r="T147" s="47"/>
      <c r="U147" s="25"/>
      <c r="V147" s="175"/>
      <c r="W147" s="198"/>
      <c r="X147" s="26"/>
      <c r="Y147" s="27"/>
      <c r="Z147" s="28"/>
      <c r="AA147" s="396"/>
      <c r="AB147" s="261"/>
      <c r="AC147" s="200"/>
    </row>
    <row r="148" spans="1:29" s="20" customFormat="1" x14ac:dyDescent="0.3">
      <c r="A148" s="370">
        <v>45803</v>
      </c>
      <c r="B148" s="37"/>
      <c r="C148" s="14"/>
      <c r="D148" s="14"/>
      <c r="E148" s="14"/>
      <c r="F148" s="14"/>
      <c r="G148" s="58"/>
      <c r="H148" s="58"/>
      <c r="I148" s="60"/>
      <c r="J148" s="165"/>
      <c r="K148" s="14"/>
      <c r="L148" s="50"/>
      <c r="M148" s="66"/>
      <c r="N148" s="24"/>
      <c r="O148" s="62"/>
      <c r="P148" s="377"/>
      <c r="Q148" s="21"/>
      <c r="R148" s="383"/>
      <c r="S148" s="54"/>
      <c r="T148" s="47"/>
      <c r="U148" s="25"/>
      <c r="V148" s="175"/>
      <c r="W148" s="198"/>
      <c r="X148" s="26"/>
      <c r="Y148" s="27"/>
      <c r="Z148" s="28"/>
      <c r="AA148" s="396"/>
      <c r="AB148" s="261"/>
      <c r="AC148" s="200"/>
    </row>
    <row r="149" spans="1:29" s="20" customFormat="1" x14ac:dyDescent="0.3">
      <c r="A149" s="370">
        <v>45804</v>
      </c>
      <c r="B149" s="37"/>
      <c r="C149" s="14"/>
      <c r="D149" s="14"/>
      <c r="E149" s="14"/>
      <c r="F149" s="14"/>
      <c r="G149" s="58"/>
      <c r="H149" s="58"/>
      <c r="I149" s="60"/>
      <c r="J149" s="165"/>
      <c r="K149" s="14"/>
      <c r="L149" s="50"/>
      <c r="M149" s="66"/>
      <c r="N149" s="24"/>
      <c r="O149" s="62"/>
      <c r="P149" s="377"/>
      <c r="Q149" s="21"/>
      <c r="R149" s="383"/>
      <c r="S149" s="54"/>
      <c r="T149" s="47"/>
      <c r="U149" s="25"/>
      <c r="V149" s="175"/>
      <c r="W149" s="198"/>
      <c r="X149" s="26"/>
      <c r="Y149" s="27"/>
      <c r="Z149" s="28"/>
      <c r="AA149" s="396"/>
      <c r="AB149" s="261"/>
      <c r="AC149" s="200"/>
    </row>
    <row r="150" spans="1:29" s="20" customFormat="1" x14ac:dyDescent="0.3">
      <c r="A150" s="370">
        <v>45805</v>
      </c>
      <c r="B150" s="37"/>
      <c r="C150" s="14"/>
      <c r="D150" s="14"/>
      <c r="E150" s="14"/>
      <c r="F150" s="14"/>
      <c r="G150" s="58"/>
      <c r="H150" s="58"/>
      <c r="I150" s="60"/>
      <c r="J150" s="165"/>
      <c r="K150" s="14"/>
      <c r="L150" s="50"/>
      <c r="M150" s="66"/>
      <c r="N150" s="24"/>
      <c r="O150" s="62"/>
      <c r="P150" s="377"/>
      <c r="Q150" s="21"/>
      <c r="R150" s="383"/>
      <c r="S150" s="54"/>
      <c r="T150" s="47"/>
      <c r="U150" s="25"/>
      <c r="V150" s="175"/>
      <c r="W150" s="198"/>
      <c r="X150" s="26"/>
      <c r="Y150" s="27"/>
      <c r="Z150" s="28"/>
      <c r="AA150" s="396"/>
      <c r="AB150" s="261"/>
      <c r="AC150" s="200"/>
    </row>
    <row r="151" spans="1:29" s="20" customFormat="1" x14ac:dyDescent="0.3">
      <c r="A151" s="370">
        <v>45806</v>
      </c>
      <c r="B151" s="37"/>
      <c r="C151" s="14"/>
      <c r="D151" s="14"/>
      <c r="E151" s="14"/>
      <c r="F151" s="14"/>
      <c r="G151" s="58"/>
      <c r="H151" s="58"/>
      <c r="I151" s="60"/>
      <c r="J151" s="165"/>
      <c r="K151" s="14"/>
      <c r="L151" s="50"/>
      <c r="M151" s="66"/>
      <c r="N151" s="24"/>
      <c r="O151" s="62"/>
      <c r="P151" s="377"/>
      <c r="Q151" s="21"/>
      <c r="R151" s="383"/>
      <c r="S151" s="54"/>
      <c r="T151" s="47"/>
      <c r="U151" s="25"/>
      <c r="V151" s="175"/>
      <c r="W151" s="198"/>
      <c r="X151" s="26"/>
      <c r="Y151" s="27"/>
      <c r="Z151" s="28"/>
      <c r="AA151" s="396"/>
      <c r="AB151" s="261"/>
      <c r="AC151" s="200"/>
    </row>
    <row r="152" spans="1:29" s="20" customFormat="1" x14ac:dyDescent="0.3">
      <c r="A152" s="370">
        <v>45807</v>
      </c>
      <c r="B152" s="37"/>
      <c r="C152" s="14"/>
      <c r="D152" s="14"/>
      <c r="E152" s="14"/>
      <c r="F152" s="14"/>
      <c r="G152" s="58"/>
      <c r="H152" s="58"/>
      <c r="I152" s="60"/>
      <c r="J152" s="165"/>
      <c r="K152" s="14"/>
      <c r="L152" s="50"/>
      <c r="M152" s="66"/>
      <c r="N152" s="24"/>
      <c r="O152" s="62"/>
      <c r="P152" s="377"/>
      <c r="Q152" s="21"/>
      <c r="R152" s="383"/>
      <c r="S152" s="54"/>
      <c r="T152" s="47"/>
      <c r="U152" s="25"/>
      <c r="V152" s="175"/>
      <c r="W152" s="198"/>
      <c r="X152" s="26"/>
      <c r="Y152" s="27"/>
      <c r="Z152" s="28"/>
      <c r="AA152" s="396"/>
      <c r="AB152" s="261"/>
      <c r="AC152" s="200"/>
    </row>
    <row r="153" spans="1:29" s="257" customFormat="1" ht="15" thickBot="1" x14ac:dyDescent="0.35">
      <c r="A153" s="370">
        <v>45808</v>
      </c>
      <c r="B153" s="38"/>
      <c r="C153" s="22"/>
      <c r="D153" s="22"/>
      <c r="E153" s="22"/>
      <c r="F153" s="22"/>
      <c r="G153" s="22"/>
      <c r="H153" s="22"/>
      <c r="I153" s="61"/>
      <c r="J153" s="166"/>
      <c r="K153" s="22"/>
      <c r="L153" s="256"/>
      <c r="M153" s="67"/>
      <c r="N153" s="52"/>
      <c r="O153" s="63"/>
      <c r="P153" s="381"/>
      <c r="Q153" s="53"/>
      <c r="R153" s="388"/>
      <c r="S153" s="56"/>
      <c r="T153" s="49"/>
      <c r="U153" s="39"/>
      <c r="V153" s="176"/>
      <c r="W153" s="199"/>
      <c r="X153" s="40"/>
      <c r="Y153" s="41"/>
      <c r="Z153" s="42"/>
      <c r="AA153" s="399"/>
      <c r="AB153" s="262"/>
      <c r="AC153" s="404"/>
    </row>
    <row r="154" spans="1:29" s="33" customFormat="1" x14ac:dyDescent="0.3">
      <c r="A154" s="370">
        <v>45809</v>
      </c>
      <c r="B154" s="57"/>
      <c r="C154" s="29"/>
      <c r="D154" s="29"/>
      <c r="E154" s="29"/>
      <c r="F154" s="29"/>
      <c r="G154" s="58"/>
      <c r="H154" s="58"/>
      <c r="I154" s="65"/>
      <c r="J154" s="366"/>
      <c r="K154" s="29"/>
      <c r="L154" s="58"/>
      <c r="M154" s="90"/>
      <c r="N154" s="30"/>
      <c r="O154" s="87"/>
      <c r="P154" s="376"/>
      <c r="Q154" s="31"/>
      <c r="R154" s="382"/>
      <c r="S154" s="89"/>
      <c r="T154" s="32"/>
      <c r="U154" s="32"/>
      <c r="V154" s="174"/>
      <c r="W154" s="363"/>
      <c r="X154" s="84"/>
      <c r="Y154" s="85"/>
      <c r="Z154" s="86"/>
      <c r="AA154" s="393"/>
      <c r="AB154" s="259"/>
      <c r="AC154" s="401"/>
    </row>
    <row r="155" spans="1:29" s="20" customFormat="1" x14ac:dyDescent="0.3">
      <c r="A155" s="370">
        <v>45810</v>
      </c>
      <c r="B155" s="37"/>
      <c r="C155" s="14"/>
      <c r="D155" s="14"/>
      <c r="E155" s="14"/>
      <c r="F155" s="14"/>
      <c r="G155" s="58"/>
      <c r="H155" s="58"/>
      <c r="I155" s="60"/>
      <c r="J155" s="165"/>
      <c r="K155" s="14"/>
      <c r="L155" s="50"/>
      <c r="M155" s="66"/>
      <c r="N155" s="24"/>
      <c r="O155" s="62"/>
      <c r="P155" s="377"/>
      <c r="Q155" s="21"/>
      <c r="R155" s="383"/>
      <c r="S155" s="54"/>
      <c r="T155" s="47"/>
      <c r="U155" s="25"/>
      <c r="V155" s="175"/>
      <c r="W155" s="196"/>
      <c r="X155" s="16"/>
      <c r="Y155" s="17"/>
      <c r="Z155" s="18"/>
      <c r="AA155" s="394"/>
      <c r="AB155" s="260"/>
      <c r="AC155" s="200"/>
    </row>
    <row r="156" spans="1:29" s="20" customFormat="1" x14ac:dyDescent="0.3">
      <c r="A156" s="370">
        <v>45811</v>
      </c>
      <c r="B156" s="37"/>
      <c r="C156" s="14"/>
      <c r="D156" s="14"/>
      <c r="E156" s="14"/>
      <c r="F156" s="14"/>
      <c r="G156" s="58"/>
      <c r="H156" s="58"/>
      <c r="I156" s="60"/>
      <c r="J156" s="165"/>
      <c r="K156" s="14"/>
      <c r="L156" s="50"/>
      <c r="M156" s="66"/>
      <c r="N156" s="24"/>
      <c r="O156" s="62"/>
      <c r="P156" s="377"/>
      <c r="Q156" s="21"/>
      <c r="R156" s="383"/>
      <c r="S156" s="54"/>
      <c r="T156" s="47"/>
      <c r="U156" s="25"/>
      <c r="V156" s="175"/>
      <c r="W156" s="196"/>
      <c r="X156" s="16"/>
      <c r="Y156" s="17"/>
      <c r="Z156" s="18"/>
      <c r="AA156" s="394"/>
      <c r="AB156" s="260"/>
      <c r="AC156" s="200"/>
    </row>
    <row r="157" spans="1:29" s="20" customFormat="1" x14ac:dyDescent="0.3">
      <c r="A157" s="370">
        <v>45812</v>
      </c>
      <c r="B157" s="37"/>
      <c r="C157" s="14"/>
      <c r="D157" s="14"/>
      <c r="E157" s="14"/>
      <c r="F157" s="14"/>
      <c r="G157" s="58"/>
      <c r="H157" s="58"/>
      <c r="I157" s="60"/>
      <c r="J157" s="165"/>
      <c r="K157" s="14"/>
      <c r="L157" s="50"/>
      <c r="M157" s="66"/>
      <c r="N157" s="24"/>
      <c r="O157" s="62"/>
      <c r="P157" s="377"/>
      <c r="Q157" s="21"/>
      <c r="R157" s="383"/>
      <c r="S157" s="55"/>
      <c r="T157" s="48"/>
      <c r="U157" s="19"/>
      <c r="V157" s="175"/>
      <c r="W157" s="197"/>
      <c r="X157" s="16"/>
      <c r="Y157" s="17"/>
      <c r="Z157" s="18"/>
      <c r="AA157" s="394"/>
      <c r="AB157" s="260"/>
      <c r="AC157" s="200"/>
    </row>
    <row r="158" spans="1:29" s="20" customFormat="1" x14ac:dyDescent="0.3">
      <c r="A158" s="370">
        <v>45813</v>
      </c>
      <c r="B158" s="37"/>
      <c r="C158" s="14"/>
      <c r="D158" s="14"/>
      <c r="E158" s="14"/>
      <c r="F158" s="14"/>
      <c r="G158" s="58"/>
      <c r="H158" s="58"/>
      <c r="I158" s="60"/>
      <c r="J158" s="165"/>
      <c r="K158" s="14"/>
      <c r="L158" s="50"/>
      <c r="M158" s="66"/>
      <c r="N158" s="24"/>
      <c r="O158" s="62"/>
      <c r="P158" s="377"/>
      <c r="Q158" s="21"/>
      <c r="R158" s="383"/>
      <c r="S158" s="54"/>
      <c r="T158" s="47"/>
      <c r="U158" s="25"/>
      <c r="V158" s="175"/>
      <c r="W158" s="197"/>
      <c r="X158" s="16"/>
      <c r="Y158" s="17"/>
      <c r="Z158" s="18"/>
      <c r="AA158" s="394"/>
      <c r="AB158" s="260"/>
      <c r="AC158" s="200"/>
    </row>
    <row r="159" spans="1:29" s="20" customFormat="1" x14ac:dyDescent="0.3">
      <c r="A159" s="370">
        <v>45814</v>
      </c>
      <c r="B159" s="37"/>
      <c r="C159" s="14"/>
      <c r="D159" s="14"/>
      <c r="E159" s="14"/>
      <c r="F159" s="14"/>
      <c r="G159" s="58"/>
      <c r="H159" s="58"/>
      <c r="I159" s="60"/>
      <c r="J159" s="165"/>
      <c r="K159" s="14"/>
      <c r="L159" s="50"/>
      <c r="M159" s="66"/>
      <c r="N159" s="24"/>
      <c r="O159" s="62"/>
      <c r="P159" s="377"/>
      <c r="Q159" s="21"/>
      <c r="R159" s="383"/>
      <c r="S159" s="54"/>
      <c r="T159" s="47"/>
      <c r="U159" s="25"/>
      <c r="V159" s="175"/>
      <c r="W159" s="197"/>
      <c r="X159" s="16"/>
      <c r="Y159" s="17"/>
      <c r="Z159" s="18"/>
      <c r="AA159" s="394"/>
      <c r="AB159" s="260"/>
      <c r="AC159" s="200"/>
    </row>
    <row r="160" spans="1:29" s="20" customFormat="1" x14ac:dyDescent="0.3">
      <c r="A160" s="370">
        <v>45815</v>
      </c>
      <c r="B160" s="37"/>
      <c r="C160" s="14"/>
      <c r="D160" s="14"/>
      <c r="E160" s="14"/>
      <c r="F160" s="14"/>
      <c r="G160" s="58"/>
      <c r="H160" s="58"/>
      <c r="I160" s="60"/>
      <c r="J160" s="165"/>
      <c r="K160" s="14"/>
      <c r="L160" s="50"/>
      <c r="M160" s="66"/>
      <c r="N160" s="24"/>
      <c r="O160" s="62"/>
      <c r="P160" s="377"/>
      <c r="Q160" s="21"/>
      <c r="R160" s="383"/>
      <c r="S160" s="54"/>
      <c r="T160" s="47"/>
      <c r="U160" s="25"/>
      <c r="V160" s="175"/>
      <c r="W160" s="197"/>
      <c r="X160" s="16"/>
      <c r="Y160" s="17"/>
      <c r="Z160" s="18"/>
      <c r="AA160" s="394"/>
      <c r="AB160" s="260"/>
      <c r="AC160" s="200"/>
    </row>
    <row r="161" spans="1:29" s="20" customFormat="1" x14ac:dyDescent="0.3">
      <c r="A161" s="370">
        <v>45816</v>
      </c>
      <c r="B161" s="37"/>
      <c r="C161" s="14"/>
      <c r="D161" s="14"/>
      <c r="E161" s="14"/>
      <c r="F161" s="14"/>
      <c r="G161" s="58"/>
      <c r="H161" s="58"/>
      <c r="I161" s="60"/>
      <c r="J161" s="165"/>
      <c r="K161" s="14"/>
      <c r="L161" s="50"/>
      <c r="M161" s="66"/>
      <c r="N161" s="24"/>
      <c r="O161" s="62"/>
      <c r="P161" s="377"/>
      <c r="Q161" s="21"/>
      <c r="R161" s="383"/>
      <c r="S161" s="54"/>
      <c r="T161" s="47"/>
      <c r="U161" s="25"/>
      <c r="V161" s="175"/>
      <c r="W161" s="197"/>
      <c r="X161" s="16"/>
      <c r="Y161" s="17"/>
      <c r="Z161" s="18"/>
      <c r="AA161" s="394"/>
      <c r="AB161" s="260"/>
      <c r="AC161" s="200"/>
    </row>
    <row r="162" spans="1:29" s="20" customFormat="1" x14ac:dyDescent="0.3">
      <c r="A162" s="370">
        <v>45817</v>
      </c>
      <c r="B162" s="37"/>
      <c r="C162" s="14"/>
      <c r="D162" s="14"/>
      <c r="E162" s="14"/>
      <c r="F162" s="14"/>
      <c r="G162" s="58"/>
      <c r="H162" s="58"/>
      <c r="I162" s="60"/>
      <c r="J162" s="165"/>
      <c r="K162" s="14"/>
      <c r="L162" s="50"/>
      <c r="M162" s="66"/>
      <c r="N162" s="24"/>
      <c r="O162" s="62"/>
      <c r="P162" s="377"/>
      <c r="Q162" s="21"/>
      <c r="R162" s="383"/>
      <c r="S162" s="54"/>
      <c r="T162" s="47"/>
      <c r="U162" s="25"/>
      <c r="V162" s="175"/>
      <c r="W162" s="197"/>
      <c r="X162" s="16"/>
      <c r="Y162" s="17"/>
      <c r="Z162" s="18"/>
      <c r="AA162" s="394"/>
      <c r="AB162" s="260"/>
      <c r="AC162" s="200"/>
    </row>
    <row r="163" spans="1:29" s="20" customFormat="1" x14ac:dyDescent="0.3">
      <c r="A163" s="370">
        <v>45818</v>
      </c>
      <c r="B163" s="37"/>
      <c r="C163" s="14"/>
      <c r="D163" s="14"/>
      <c r="E163" s="14"/>
      <c r="F163" s="14"/>
      <c r="G163" s="58"/>
      <c r="H163" s="58"/>
      <c r="I163" s="60"/>
      <c r="J163" s="165"/>
      <c r="K163" s="14"/>
      <c r="L163" s="50"/>
      <c r="M163" s="66"/>
      <c r="N163" s="24"/>
      <c r="O163" s="62"/>
      <c r="P163" s="377"/>
      <c r="Q163" s="21"/>
      <c r="R163" s="383"/>
      <c r="S163" s="54"/>
      <c r="T163" s="47"/>
      <c r="U163" s="25"/>
      <c r="V163" s="175"/>
      <c r="W163" s="197"/>
      <c r="X163" s="16"/>
      <c r="Y163" s="17"/>
      <c r="Z163" s="18"/>
      <c r="AA163" s="394"/>
      <c r="AB163" s="260"/>
      <c r="AC163" s="200"/>
    </row>
    <row r="164" spans="1:29" s="20" customFormat="1" x14ac:dyDescent="0.3">
      <c r="A164" s="370">
        <v>45819</v>
      </c>
      <c r="B164" s="37"/>
      <c r="C164" s="14"/>
      <c r="D164" s="14"/>
      <c r="E164" s="14"/>
      <c r="F164" s="14"/>
      <c r="G164" s="58"/>
      <c r="H164" s="58"/>
      <c r="I164" s="60"/>
      <c r="J164" s="165"/>
      <c r="K164" s="14"/>
      <c r="L164" s="50"/>
      <c r="M164" s="66"/>
      <c r="N164" s="24"/>
      <c r="O164" s="62"/>
      <c r="P164" s="377"/>
      <c r="Q164" s="21"/>
      <c r="R164" s="383"/>
      <c r="S164" s="54"/>
      <c r="T164" s="47"/>
      <c r="U164" s="25"/>
      <c r="V164" s="175"/>
      <c r="W164" s="197"/>
      <c r="X164" s="16"/>
      <c r="Y164" s="17"/>
      <c r="Z164" s="18"/>
      <c r="AA164" s="394"/>
      <c r="AB164" s="260"/>
      <c r="AC164" s="200"/>
    </row>
    <row r="165" spans="1:29" s="20" customFormat="1" x14ac:dyDescent="0.3">
      <c r="A165" s="370">
        <v>45820</v>
      </c>
      <c r="B165" s="37"/>
      <c r="C165" s="14"/>
      <c r="D165" s="14"/>
      <c r="E165" s="14"/>
      <c r="F165" s="14"/>
      <c r="G165" s="58"/>
      <c r="H165" s="58"/>
      <c r="I165" s="60"/>
      <c r="J165" s="165"/>
      <c r="K165" s="14"/>
      <c r="L165" s="50"/>
      <c r="M165" s="66"/>
      <c r="N165" s="24"/>
      <c r="O165" s="62"/>
      <c r="P165" s="377"/>
      <c r="Q165" s="21"/>
      <c r="R165" s="383"/>
      <c r="S165" s="54"/>
      <c r="T165" s="47"/>
      <c r="U165" s="25"/>
      <c r="V165" s="175"/>
      <c r="W165" s="197"/>
      <c r="X165" s="16"/>
      <c r="Y165" s="17"/>
      <c r="Z165" s="18"/>
      <c r="AA165" s="394"/>
      <c r="AB165" s="260"/>
      <c r="AC165" s="200"/>
    </row>
    <row r="166" spans="1:29" s="20" customFormat="1" x14ac:dyDescent="0.3">
      <c r="A166" s="370">
        <v>45821</v>
      </c>
      <c r="B166" s="37"/>
      <c r="C166" s="14"/>
      <c r="D166" s="14"/>
      <c r="E166" s="14"/>
      <c r="F166" s="14"/>
      <c r="G166" s="58"/>
      <c r="H166" s="58"/>
      <c r="I166" s="60"/>
      <c r="J166" s="165"/>
      <c r="K166" s="14"/>
      <c r="L166" s="50"/>
      <c r="M166" s="66"/>
      <c r="N166" s="24"/>
      <c r="O166" s="62"/>
      <c r="P166" s="377"/>
      <c r="Q166" s="21"/>
      <c r="R166" s="383"/>
      <c r="S166" s="54"/>
      <c r="T166" s="47"/>
      <c r="U166" s="25"/>
      <c r="V166" s="175"/>
      <c r="W166" s="198"/>
      <c r="X166" s="26"/>
      <c r="Y166" s="27"/>
      <c r="Z166" s="28"/>
      <c r="AA166" s="396"/>
      <c r="AB166" s="261"/>
      <c r="AC166" s="200"/>
    </row>
    <row r="167" spans="1:29" s="20" customFormat="1" x14ac:dyDescent="0.3">
      <c r="A167" s="370">
        <v>45822</v>
      </c>
      <c r="B167" s="37"/>
      <c r="C167" s="14"/>
      <c r="D167" s="14"/>
      <c r="E167" s="14"/>
      <c r="F167" s="14"/>
      <c r="G167" s="58"/>
      <c r="H167" s="58"/>
      <c r="I167" s="60"/>
      <c r="J167" s="165"/>
      <c r="K167" s="14"/>
      <c r="L167" s="50"/>
      <c r="M167" s="66"/>
      <c r="N167" s="24"/>
      <c r="O167" s="62"/>
      <c r="P167" s="377"/>
      <c r="Q167" s="21"/>
      <c r="R167" s="383"/>
      <c r="S167" s="54"/>
      <c r="T167" s="47"/>
      <c r="U167" s="25"/>
      <c r="V167" s="175"/>
      <c r="W167" s="198"/>
      <c r="X167" s="26"/>
      <c r="Y167" s="27"/>
      <c r="Z167" s="28"/>
      <c r="AA167" s="396"/>
      <c r="AB167" s="261"/>
      <c r="AC167" s="200"/>
    </row>
    <row r="168" spans="1:29" s="20" customFormat="1" x14ac:dyDescent="0.3">
      <c r="A168" s="370">
        <v>45823</v>
      </c>
      <c r="B168" s="37"/>
      <c r="C168" s="14"/>
      <c r="D168" s="14"/>
      <c r="E168" s="14"/>
      <c r="F168" s="14"/>
      <c r="G168" s="58"/>
      <c r="H168" s="58"/>
      <c r="I168" s="60"/>
      <c r="J168" s="165"/>
      <c r="K168" s="14"/>
      <c r="L168" s="50"/>
      <c r="M168" s="66"/>
      <c r="N168" s="24"/>
      <c r="O168" s="62"/>
      <c r="P168" s="377"/>
      <c r="Q168" s="21"/>
      <c r="R168" s="383"/>
      <c r="S168" s="54"/>
      <c r="T168" s="47"/>
      <c r="U168" s="25"/>
      <c r="V168" s="175"/>
      <c r="W168" s="198"/>
      <c r="X168" s="26"/>
      <c r="Y168" s="27"/>
      <c r="Z168" s="28"/>
      <c r="AA168" s="396"/>
      <c r="AB168" s="261"/>
      <c r="AC168" s="200"/>
    </row>
    <row r="169" spans="1:29" s="20" customFormat="1" x14ac:dyDescent="0.3">
      <c r="A169" s="370">
        <v>45824</v>
      </c>
      <c r="B169" s="37"/>
      <c r="C169" s="14"/>
      <c r="D169" s="14"/>
      <c r="E169" s="14"/>
      <c r="F169" s="14"/>
      <c r="G169" s="58"/>
      <c r="H169" s="58"/>
      <c r="I169" s="60"/>
      <c r="J169" s="165"/>
      <c r="K169" s="14"/>
      <c r="L169" s="50"/>
      <c r="M169" s="66"/>
      <c r="N169" s="24"/>
      <c r="O169" s="62"/>
      <c r="P169" s="377"/>
      <c r="Q169" s="21"/>
      <c r="R169" s="383"/>
      <c r="S169" s="54"/>
      <c r="T169" s="47"/>
      <c r="U169" s="25"/>
      <c r="V169" s="175"/>
      <c r="W169" s="198"/>
      <c r="X169" s="26"/>
      <c r="Y169" s="27"/>
      <c r="Z169" s="28"/>
      <c r="AA169" s="396"/>
      <c r="AB169" s="261"/>
      <c r="AC169" s="200"/>
    </row>
    <row r="170" spans="1:29" s="20" customFormat="1" x14ac:dyDescent="0.3">
      <c r="A170" s="370">
        <v>45825</v>
      </c>
      <c r="B170" s="37"/>
      <c r="C170" s="14"/>
      <c r="D170" s="14"/>
      <c r="E170" s="14"/>
      <c r="F170" s="14"/>
      <c r="G170" s="58"/>
      <c r="H170" s="58"/>
      <c r="I170" s="60"/>
      <c r="J170" s="165"/>
      <c r="K170" s="14"/>
      <c r="L170" s="50"/>
      <c r="M170" s="66"/>
      <c r="N170" s="24"/>
      <c r="O170" s="62"/>
      <c r="P170" s="377"/>
      <c r="Q170" s="21"/>
      <c r="R170" s="383"/>
      <c r="S170" s="54"/>
      <c r="T170" s="47"/>
      <c r="U170" s="25"/>
      <c r="V170" s="175"/>
      <c r="W170" s="198"/>
      <c r="X170" s="26"/>
      <c r="Y170" s="27"/>
      <c r="Z170" s="28"/>
      <c r="AA170" s="396"/>
      <c r="AB170" s="261"/>
      <c r="AC170" s="200"/>
    </row>
    <row r="171" spans="1:29" s="20" customFormat="1" x14ac:dyDescent="0.3">
      <c r="A171" s="370">
        <v>45826</v>
      </c>
      <c r="B171" s="37"/>
      <c r="C171" s="14"/>
      <c r="D171" s="14"/>
      <c r="E171" s="14"/>
      <c r="F171" s="14"/>
      <c r="G171" s="58"/>
      <c r="H171" s="58"/>
      <c r="I171" s="60"/>
      <c r="J171" s="165"/>
      <c r="K171" s="14"/>
      <c r="L171" s="50"/>
      <c r="M171" s="66"/>
      <c r="N171" s="24"/>
      <c r="O171" s="62"/>
      <c r="P171" s="377"/>
      <c r="Q171" s="21"/>
      <c r="R171" s="383"/>
      <c r="S171" s="54"/>
      <c r="T171" s="47"/>
      <c r="U171" s="25"/>
      <c r="V171" s="175"/>
      <c r="W171" s="198"/>
      <c r="X171" s="26"/>
      <c r="Y171" s="27"/>
      <c r="Z171" s="28"/>
      <c r="AA171" s="396"/>
      <c r="AB171" s="261"/>
      <c r="AC171" s="200"/>
    </row>
    <row r="172" spans="1:29" s="20" customFormat="1" x14ac:dyDescent="0.3">
      <c r="A172" s="370">
        <v>45827</v>
      </c>
      <c r="B172" s="37"/>
      <c r="C172" s="14"/>
      <c r="D172" s="14"/>
      <c r="E172" s="14"/>
      <c r="F172" s="14"/>
      <c r="G172" s="58"/>
      <c r="H172" s="58"/>
      <c r="I172" s="60"/>
      <c r="J172" s="165"/>
      <c r="K172" s="14"/>
      <c r="L172" s="50"/>
      <c r="M172" s="66"/>
      <c r="N172" s="24"/>
      <c r="O172" s="62"/>
      <c r="P172" s="377"/>
      <c r="Q172" s="21"/>
      <c r="R172" s="383"/>
      <c r="S172" s="54"/>
      <c r="T172" s="47"/>
      <c r="U172" s="25"/>
      <c r="V172" s="175"/>
      <c r="W172" s="198"/>
      <c r="X172" s="26"/>
      <c r="Y172" s="27"/>
      <c r="Z172" s="28"/>
      <c r="AA172" s="396"/>
      <c r="AB172" s="261"/>
      <c r="AC172" s="200"/>
    </row>
    <row r="173" spans="1:29" s="20" customFormat="1" x14ac:dyDescent="0.3">
      <c r="A173" s="370">
        <v>45828</v>
      </c>
      <c r="B173" s="37"/>
      <c r="C173" s="14"/>
      <c r="D173" s="14"/>
      <c r="E173" s="14"/>
      <c r="F173" s="14"/>
      <c r="G173" s="58"/>
      <c r="H173" s="58"/>
      <c r="I173" s="60"/>
      <c r="J173" s="165"/>
      <c r="K173" s="14"/>
      <c r="L173" s="50"/>
      <c r="M173" s="66"/>
      <c r="N173" s="24"/>
      <c r="O173" s="62"/>
      <c r="P173" s="377"/>
      <c r="Q173" s="21"/>
      <c r="R173" s="383"/>
      <c r="S173" s="54"/>
      <c r="T173" s="47"/>
      <c r="U173" s="25"/>
      <c r="V173" s="175"/>
      <c r="W173" s="198"/>
      <c r="X173" s="26"/>
      <c r="Y173" s="27"/>
      <c r="Z173" s="28"/>
      <c r="AA173" s="396"/>
      <c r="AB173" s="261"/>
      <c r="AC173" s="200"/>
    </row>
    <row r="174" spans="1:29" s="20" customFormat="1" x14ac:dyDescent="0.3">
      <c r="A174" s="370">
        <v>45829</v>
      </c>
      <c r="B174" s="37"/>
      <c r="C174" s="14"/>
      <c r="D174" s="14"/>
      <c r="E174" s="14"/>
      <c r="F174" s="14"/>
      <c r="G174" s="58"/>
      <c r="H174" s="58"/>
      <c r="I174" s="60"/>
      <c r="J174" s="165"/>
      <c r="K174" s="14"/>
      <c r="L174" s="50"/>
      <c r="M174" s="66"/>
      <c r="N174" s="24"/>
      <c r="O174" s="62"/>
      <c r="P174" s="377"/>
      <c r="Q174" s="21"/>
      <c r="R174" s="383"/>
      <c r="S174" s="54"/>
      <c r="T174" s="47"/>
      <c r="U174" s="25"/>
      <c r="V174" s="175"/>
      <c r="W174" s="198"/>
      <c r="X174" s="26"/>
      <c r="Y174" s="27"/>
      <c r="Z174" s="28"/>
      <c r="AA174" s="396"/>
      <c r="AB174" s="261"/>
      <c r="AC174" s="200"/>
    </row>
    <row r="175" spans="1:29" s="20" customFormat="1" x14ac:dyDescent="0.3">
      <c r="A175" s="370">
        <v>45830</v>
      </c>
      <c r="B175" s="37"/>
      <c r="C175" s="14"/>
      <c r="D175" s="14"/>
      <c r="E175" s="14"/>
      <c r="F175" s="14"/>
      <c r="G175" s="58"/>
      <c r="H175" s="58"/>
      <c r="I175" s="60"/>
      <c r="J175" s="165"/>
      <c r="K175" s="14"/>
      <c r="L175" s="50"/>
      <c r="M175" s="66"/>
      <c r="N175" s="24"/>
      <c r="O175" s="62"/>
      <c r="P175" s="377"/>
      <c r="Q175" s="21"/>
      <c r="R175" s="383"/>
      <c r="S175" s="54"/>
      <c r="T175" s="47"/>
      <c r="U175" s="25"/>
      <c r="V175" s="175"/>
      <c r="W175" s="198"/>
      <c r="X175" s="26"/>
      <c r="Y175" s="27"/>
      <c r="Z175" s="28"/>
      <c r="AA175" s="396"/>
      <c r="AB175" s="261"/>
      <c r="AC175" s="200"/>
    </row>
    <row r="176" spans="1:29" s="20" customFormat="1" x14ac:dyDescent="0.3">
      <c r="A176" s="370">
        <v>45831</v>
      </c>
      <c r="B176" s="37"/>
      <c r="C176" s="14"/>
      <c r="D176" s="14"/>
      <c r="E176" s="14"/>
      <c r="F176" s="14"/>
      <c r="G176" s="58"/>
      <c r="H176" s="58"/>
      <c r="I176" s="60"/>
      <c r="J176" s="165"/>
      <c r="K176" s="14"/>
      <c r="L176" s="50"/>
      <c r="M176" s="66"/>
      <c r="N176" s="24"/>
      <c r="O176" s="62"/>
      <c r="P176" s="377"/>
      <c r="Q176" s="21"/>
      <c r="R176" s="383"/>
      <c r="S176" s="54"/>
      <c r="T176" s="47"/>
      <c r="U176" s="25"/>
      <c r="V176" s="175"/>
      <c r="W176" s="198"/>
      <c r="X176" s="26"/>
      <c r="Y176" s="27"/>
      <c r="Z176" s="28"/>
      <c r="AA176" s="396"/>
      <c r="AB176" s="261"/>
      <c r="AC176" s="200"/>
    </row>
    <row r="177" spans="1:29" s="20" customFormat="1" x14ac:dyDescent="0.3">
      <c r="A177" s="370">
        <v>45832</v>
      </c>
      <c r="B177" s="37"/>
      <c r="C177" s="14"/>
      <c r="D177" s="14"/>
      <c r="E177" s="14"/>
      <c r="F177" s="14"/>
      <c r="G177" s="58"/>
      <c r="H177" s="58"/>
      <c r="I177" s="60"/>
      <c r="J177" s="165"/>
      <c r="K177" s="14"/>
      <c r="L177" s="50"/>
      <c r="M177" s="66"/>
      <c r="N177" s="24"/>
      <c r="O177" s="62"/>
      <c r="P177" s="377"/>
      <c r="Q177" s="21"/>
      <c r="R177" s="383"/>
      <c r="S177" s="54"/>
      <c r="T177" s="47"/>
      <c r="U177" s="25"/>
      <c r="V177" s="175"/>
      <c r="W177" s="198"/>
      <c r="X177" s="26"/>
      <c r="Y177" s="27"/>
      <c r="Z177" s="28"/>
      <c r="AA177" s="396"/>
      <c r="AB177" s="261"/>
      <c r="AC177" s="200"/>
    </row>
    <row r="178" spans="1:29" s="20" customFormat="1" x14ac:dyDescent="0.3">
      <c r="A178" s="370">
        <v>45833</v>
      </c>
      <c r="B178" s="37"/>
      <c r="C178" s="14"/>
      <c r="D178" s="14"/>
      <c r="E178" s="14"/>
      <c r="F178" s="14"/>
      <c r="G178" s="58"/>
      <c r="H178" s="58"/>
      <c r="I178" s="60"/>
      <c r="J178" s="165"/>
      <c r="K178" s="14"/>
      <c r="L178" s="50"/>
      <c r="M178" s="66"/>
      <c r="N178" s="24"/>
      <c r="O178" s="62"/>
      <c r="P178" s="377"/>
      <c r="Q178" s="21"/>
      <c r="R178" s="383"/>
      <c r="S178" s="54"/>
      <c r="T178" s="47"/>
      <c r="U178" s="25"/>
      <c r="V178" s="175"/>
      <c r="W178" s="198"/>
      <c r="X178" s="26"/>
      <c r="Y178" s="27"/>
      <c r="Z178" s="28"/>
      <c r="AA178" s="396"/>
      <c r="AB178" s="261"/>
      <c r="AC178" s="200"/>
    </row>
    <row r="179" spans="1:29" s="20" customFormat="1" x14ac:dyDescent="0.3">
      <c r="A179" s="370">
        <v>45834</v>
      </c>
      <c r="B179" s="37"/>
      <c r="C179" s="14"/>
      <c r="D179" s="14"/>
      <c r="E179" s="14"/>
      <c r="F179" s="14"/>
      <c r="G179" s="58"/>
      <c r="H179" s="58"/>
      <c r="I179" s="60"/>
      <c r="J179" s="165"/>
      <c r="K179" s="14"/>
      <c r="L179" s="50"/>
      <c r="M179" s="66"/>
      <c r="N179" s="24"/>
      <c r="O179" s="62"/>
      <c r="P179" s="377"/>
      <c r="Q179" s="21"/>
      <c r="R179" s="383"/>
      <c r="S179" s="54"/>
      <c r="T179" s="47"/>
      <c r="U179" s="25"/>
      <c r="V179" s="175"/>
      <c r="W179" s="198"/>
      <c r="X179" s="26"/>
      <c r="Y179" s="27"/>
      <c r="Z179" s="28"/>
      <c r="AA179" s="396"/>
      <c r="AB179" s="261"/>
      <c r="AC179" s="200"/>
    </row>
    <row r="180" spans="1:29" s="20" customFormat="1" x14ac:dyDescent="0.3">
      <c r="A180" s="370">
        <v>45835</v>
      </c>
      <c r="B180" s="37"/>
      <c r="C180" s="14"/>
      <c r="D180" s="14"/>
      <c r="E180" s="14"/>
      <c r="F180" s="14"/>
      <c r="G180" s="58"/>
      <c r="H180" s="58"/>
      <c r="I180" s="60"/>
      <c r="J180" s="165"/>
      <c r="K180" s="14"/>
      <c r="L180" s="50"/>
      <c r="M180" s="66"/>
      <c r="N180" s="24"/>
      <c r="O180" s="62"/>
      <c r="P180" s="377"/>
      <c r="Q180" s="21"/>
      <c r="R180" s="383"/>
      <c r="S180" s="54"/>
      <c r="T180" s="47"/>
      <c r="U180" s="25"/>
      <c r="V180" s="175"/>
      <c r="W180" s="198"/>
      <c r="X180" s="26"/>
      <c r="Y180" s="27"/>
      <c r="Z180" s="28"/>
      <c r="AA180" s="396"/>
      <c r="AB180" s="261"/>
      <c r="AC180" s="200"/>
    </row>
    <row r="181" spans="1:29" s="20" customFormat="1" x14ac:dyDescent="0.3">
      <c r="A181" s="370">
        <v>45836</v>
      </c>
      <c r="B181" s="37"/>
      <c r="C181" s="14"/>
      <c r="D181" s="14"/>
      <c r="E181" s="14"/>
      <c r="F181" s="14"/>
      <c r="G181" s="58"/>
      <c r="H181" s="58"/>
      <c r="I181" s="60"/>
      <c r="J181" s="165"/>
      <c r="K181" s="14"/>
      <c r="L181" s="50"/>
      <c r="M181" s="66"/>
      <c r="N181" s="24"/>
      <c r="O181" s="62"/>
      <c r="P181" s="377"/>
      <c r="Q181" s="21"/>
      <c r="R181" s="383"/>
      <c r="S181" s="54"/>
      <c r="T181" s="47"/>
      <c r="U181" s="25"/>
      <c r="V181" s="175"/>
      <c r="W181" s="198"/>
      <c r="X181" s="26"/>
      <c r="Y181" s="27"/>
      <c r="Z181" s="28"/>
      <c r="AA181" s="396"/>
      <c r="AB181" s="261"/>
      <c r="AC181" s="200"/>
    </row>
    <row r="182" spans="1:29" s="20" customFormat="1" x14ac:dyDescent="0.3">
      <c r="A182" s="370">
        <v>45837</v>
      </c>
      <c r="B182" s="37"/>
      <c r="C182" s="14"/>
      <c r="D182" s="14"/>
      <c r="E182" s="14"/>
      <c r="F182" s="14"/>
      <c r="G182" s="58"/>
      <c r="H182" s="58"/>
      <c r="I182" s="60"/>
      <c r="J182" s="165"/>
      <c r="K182" s="14"/>
      <c r="L182" s="50"/>
      <c r="M182" s="66"/>
      <c r="N182" s="24"/>
      <c r="O182" s="62"/>
      <c r="P182" s="377"/>
      <c r="Q182" s="21"/>
      <c r="R182" s="383"/>
      <c r="S182" s="54"/>
      <c r="T182" s="47"/>
      <c r="U182" s="25"/>
      <c r="V182" s="175"/>
      <c r="W182" s="198"/>
      <c r="X182" s="26"/>
      <c r="Y182" s="27"/>
      <c r="Z182" s="28"/>
      <c r="AA182" s="396"/>
      <c r="AB182" s="261"/>
      <c r="AC182" s="200"/>
    </row>
    <row r="183" spans="1:29" s="312" customFormat="1" ht="15" thickBot="1" x14ac:dyDescent="0.35">
      <c r="A183" s="370">
        <v>45838</v>
      </c>
      <c r="B183" s="296"/>
      <c r="C183" s="297"/>
      <c r="D183" s="297"/>
      <c r="E183" s="297"/>
      <c r="F183" s="297"/>
      <c r="G183" s="298"/>
      <c r="H183" s="298"/>
      <c r="I183" s="299"/>
      <c r="J183" s="368"/>
      <c r="K183" s="297"/>
      <c r="L183" s="298"/>
      <c r="M183" s="300"/>
      <c r="N183" s="301"/>
      <c r="O183" s="302"/>
      <c r="P183" s="379"/>
      <c r="Q183" s="303"/>
      <c r="R183" s="385"/>
      <c r="S183" s="304"/>
      <c r="T183" s="305"/>
      <c r="U183" s="306"/>
      <c r="V183" s="307"/>
      <c r="W183" s="391"/>
      <c r="X183" s="26"/>
      <c r="Y183" s="27"/>
      <c r="Z183" s="28"/>
      <c r="AA183" s="396"/>
      <c r="AB183" s="311"/>
      <c r="AC183" s="357"/>
    </row>
    <row r="184" spans="1:29" s="326" customFormat="1" x14ac:dyDescent="0.3">
      <c r="A184" s="370">
        <v>45839</v>
      </c>
      <c r="B184" s="313"/>
      <c r="C184" s="314"/>
      <c r="D184" s="314"/>
      <c r="E184" s="314"/>
      <c r="F184" s="314"/>
      <c r="G184" s="315"/>
      <c r="H184" s="315"/>
      <c r="I184" s="316"/>
      <c r="J184" s="336"/>
      <c r="K184" s="314"/>
      <c r="L184" s="315"/>
      <c r="M184" s="317"/>
      <c r="N184" s="318"/>
      <c r="O184" s="319"/>
      <c r="P184" s="380"/>
      <c r="Q184" s="320"/>
      <c r="R184" s="386"/>
      <c r="S184" s="290"/>
      <c r="T184" s="291"/>
      <c r="U184" s="291"/>
      <c r="V184" s="292"/>
      <c r="W184" s="335"/>
      <c r="X184" s="84"/>
      <c r="Y184" s="85"/>
      <c r="Z184" s="86"/>
      <c r="AA184" s="393"/>
      <c r="AB184" s="325"/>
      <c r="AC184" s="402"/>
    </row>
    <row r="185" spans="1:29" s="20" customFormat="1" x14ac:dyDescent="0.3">
      <c r="A185" s="370">
        <v>45840</v>
      </c>
      <c r="B185" s="37"/>
      <c r="C185" s="14"/>
      <c r="D185" s="14"/>
      <c r="E185" s="14"/>
      <c r="F185" s="14"/>
      <c r="G185" s="58"/>
      <c r="H185" s="58"/>
      <c r="I185" s="60"/>
      <c r="J185" s="165"/>
      <c r="K185" s="14"/>
      <c r="L185" s="50"/>
      <c r="M185" s="90"/>
      <c r="N185" s="30"/>
      <c r="O185" s="87"/>
      <c r="P185" s="377"/>
      <c r="Q185" s="21"/>
      <c r="R185" s="382"/>
      <c r="S185" s="54"/>
      <c r="T185" s="47"/>
      <c r="U185" s="25"/>
      <c r="V185" s="175"/>
      <c r="W185" s="196"/>
      <c r="X185" s="16"/>
      <c r="Y185" s="17"/>
      <c r="Z185" s="18"/>
      <c r="AA185" s="394"/>
      <c r="AB185" s="260"/>
      <c r="AC185" s="200"/>
    </row>
    <row r="186" spans="1:29" s="20" customFormat="1" x14ac:dyDescent="0.3">
      <c r="A186" s="370">
        <v>45841</v>
      </c>
      <c r="B186" s="37"/>
      <c r="C186" s="14"/>
      <c r="D186" s="14"/>
      <c r="E186" s="14"/>
      <c r="F186" s="14"/>
      <c r="G186" s="58"/>
      <c r="H186" s="58"/>
      <c r="I186" s="60"/>
      <c r="J186" s="165"/>
      <c r="K186" s="14"/>
      <c r="L186" s="50"/>
      <c r="M186" s="90"/>
      <c r="N186" s="30"/>
      <c r="O186" s="87"/>
      <c r="P186" s="377"/>
      <c r="Q186" s="21"/>
      <c r="R186" s="382"/>
      <c r="S186" s="54"/>
      <c r="T186" s="47"/>
      <c r="U186" s="25"/>
      <c r="V186" s="175"/>
      <c r="W186" s="196"/>
      <c r="X186" s="16"/>
      <c r="Y186" s="17"/>
      <c r="Z186" s="18"/>
      <c r="AA186" s="394"/>
      <c r="AB186" s="260"/>
      <c r="AC186" s="200"/>
    </row>
    <row r="187" spans="1:29" s="20" customFormat="1" x14ac:dyDescent="0.3">
      <c r="A187" s="370">
        <v>45842</v>
      </c>
      <c r="B187" s="37"/>
      <c r="C187" s="14"/>
      <c r="D187" s="14"/>
      <c r="E187" s="14"/>
      <c r="F187" s="14"/>
      <c r="G187" s="58"/>
      <c r="H187" s="58"/>
      <c r="I187" s="60"/>
      <c r="J187" s="165"/>
      <c r="K187" s="14"/>
      <c r="L187" s="50"/>
      <c r="M187" s="90"/>
      <c r="N187" s="30"/>
      <c r="O187" s="87"/>
      <c r="P187" s="377"/>
      <c r="Q187" s="21"/>
      <c r="R187" s="382"/>
      <c r="S187" s="55"/>
      <c r="T187" s="48"/>
      <c r="U187" s="19"/>
      <c r="V187" s="175"/>
      <c r="W187" s="197"/>
      <c r="X187" s="16"/>
      <c r="Y187" s="17"/>
      <c r="Z187" s="18"/>
      <c r="AA187" s="394"/>
      <c r="AB187" s="260"/>
      <c r="AC187" s="200"/>
    </row>
    <row r="188" spans="1:29" s="20" customFormat="1" x14ac:dyDescent="0.3">
      <c r="A188" s="370">
        <v>45843</v>
      </c>
      <c r="B188" s="37"/>
      <c r="C188" s="14"/>
      <c r="D188" s="14"/>
      <c r="E188" s="14"/>
      <c r="F188" s="14"/>
      <c r="G188" s="58"/>
      <c r="H188" s="58"/>
      <c r="I188" s="60"/>
      <c r="J188" s="165"/>
      <c r="K188" s="14"/>
      <c r="L188" s="50"/>
      <c r="M188" s="90"/>
      <c r="N188" s="30"/>
      <c r="O188" s="87"/>
      <c r="P188" s="377"/>
      <c r="Q188" s="21"/>
      <c r="R188" s="382"/>
      <c r="S188" s="54"/>
      <c r="T188" s="47"/>
      <c r="U188" s="25"/>
      <c r="V188" s="175"/>
      <c r="W188" s="197"/>
      <c r="X188" s="16"/>
      <c r="Y188" s="17"/>
      <c r="Z188" s="18"/>
      <c r="AA188" s="394"/>
      <c r="AB188" s="260"/>
      <c r="AC188" s="200"/>
    </row>
    <row r="189" spans="1:29" s="20" customFormat="1" x14ac:dyDescent="0.3">
      <c r="A189" s="370">
        <v>45844</v>
      </c>
      <c r="B189" s="37"/>
      <c r="C189" s="14"/>
      <c r="D189" s="14"/>
      <c r="E189" s="14"/>
      <c r="F189" s="14"/>
      <c r="G189" s="58"/>
      <c r="H189" s="58"/>
      <c r="I189" s="60"/>
      <c r="J189" s="165"/>
      <c r="K189" s="14"/>
      <c r="L189" s="50"/>
      <c r="M189" s="90"/>
      <c r="N189" s="30"/>
      <c r="O189" s="87"/>
      <c r="P189" s="377"/>
      <c r="Q189" s="21"/>
      <c r="R189" s="382"/>
      <c r="S189" s="54"/>
      <c r="T189" s="47"/>
      <c r="U189" s="25"/>
      <c r="V189" s="175"/>
      <c r="W189" s="197"/>
      <c r="X189" s="16"/>
      <c r="Y189" s="17"/>
      <c r="Z189" s="18"/>
      <c r="AA189" s="394"/>
      <c r="AB189" s="260"/>
      <c r="AC189" s="200"/>
    </row>
    <row r="190" spans="1:29" s="20" customFormat="1" x14ac:dyDescent="0.3">
      <c r="A190" s="370">
        <v>45845</v>
      </c>
      <c r="B190" s="37"/>
      <c r="C190" s="14"/>
      <c r="D190" s="14"/>
      <c r="E190" s="14"/>
      <c r="F190" s="14"/>
      <c r="G190" s="58"/>
      <c r="H190" s="58"/>
      <c r="I190" s="60"/>
      <c r="J190" s="165"/>
      <c r="K190" s="14"/>
      <c r="L190" s="50"/>
      <c r="M190" s="90"/>
      <c r="N190" s="30"/>
      <c r="O190" s="87"/>
      <c r="P190" s="377"/>
      <c r="Q190" s="21"/>
      <c r="R190" s="382"/>
      <c r="S190" s="54"/>
      <c r="T190" s="47"/>
      <c r="U190" s="25"/>
      <c r="V190" s="175"/>
      <c r="W190" s="197"/>
      <c r="X190" s="16"/>
      <c r="Y190" s="17"/>
      <c r="Z190" s="18"/>
      <c r="AA190" s="394"/>
      <c r="AB190" s="260"/>
      <c r="AC190" s="200"/>
    </row>
    <row r="191" spans="1:29" s="20" customFormat="1" x14ac:dyDescent="0.3">
      <c r="A191" s="370">
        <v>45846</v>
      </c>
      <c r="B191" s="37"/>
      <c r="C191" s="14"/>
      <c r="D191" s="14"/>
      <c r="E191" s="14"/>
      <c r="F191" s="14"/>
      <c r="G191" s="58"/>
      <c r="H191" s="58"/>
      <c r="I191" s="60"/>
      <c r="J191" s="165"/>
      <c r="K191" s="14"/>
      <c r="L191" s="50"/>
      <c r="M191" s="90"/>
      <c r="N191" s="30"/>
      <c r="O191" s="87"/>
      <c r="P191" s="377"/>
      <c r="Q191" s="21"/>
      <c r="R191" s="382"/>
      <c r="S191" s="54"/>
      <c r="T191" s="47"/>
      <c r="U191" s="25"/>
      <c r="V191" s="175"/>
      <c r="W191" s="197"/>
      <c r="X191" s="16"/>
      <c r="Y191" s="17"/>
      <c r="Z191" s="18"/>
      <c r="AA191" s="394"/>
      <c r="AB191" s="260"/>
      <c r="AC191" s="200"/>
    </row>
    <row r="192" spans="1:29" s="20" customFormat="1" x14ac:dyDescent="0.3">
      <c r="A192" s="370">
        <v>45847</v>
      </c>
      <c r="B192" s="37"/>
      <c r="C192" s="14"/>
      <c r="D192" s="14"/>
      <c r="E192" s="14"/>
      <c r="F192" s="14"/>
      <c r="G192" s="58"/>
      <c r="H192" s="58"/>
      <c r="I192" s="60"/>
      <c r="J192" s="165"/>
      <c r="K192" s="14"/>
      <c r="L192" s="50"/>
      <c r="M192" s="90"/>
      <c r="N192" s="30"/>
      <c r="O192" s="87"/>
      <c r="P192" s="377"/>
      <c r="Q192" s="21"/>
      <c r="R192" s="382"/>
      <c r="S192" s="54"/>
      <c r="T192" s="47"/>
      <c r="U192" s="25"/>
      <c r="V192" s="175"/>
      <c r="W192" s="197"/>
      <c r="X192" s="16"/>
      <c r="Y192" s="17"/>
      <c r="Z192" s="18"/>
      <c r="AA192" s="394"/>
      <c r="AB192" s="260"/>
      <c r="AC192" s="200"/>
    </row>
    <row r="193" spans="1:29" s="20" customFormat="1" x14ac:dyDescent="0.3">
      <c r="A193" s="370">
        <v>45848</v>
      </c>
      <c r="B193" s="37"/>
      <c r="C193" s="14"/>
      <c r="D193" s="14"/>
      <c r="E193" s="14"/>
      <c r="F193" s="14"/>
      <c r="G193" s="58"/>
      <c r="H193" s="58"/>
      <c r="I193" s="60"/>
      <c r="J193" s="165"/>
      <c r="K193" s="14"/>
      <c r="L193" s="50"/>
      <c r="M193" s="90"/>
      <c r="N193" s="30"/>
      <c r="O193" s="87"/>
      <c r="P193" s="377"/>
      <c r="Q193" s="21"/>
      <c r="R193" s="382"/>
      <c r="S193" s="54"/>
      <c r="T193" s="47"/>
      <c r="U193" s="25"/>
      <c r="V193" s="175"/>
      <c r="W193" s="197"/>
      <c r="X193" s="16"/>
      <c r="Y193" s="17"/>
      <c r="Z193" s="18"/>
      <c r="AA193" s="394"/>
      <c r="AB193" s="260"/>
      <c r="AC193" s="200"/>
    </row>
    <row r="194" spans="1:29" s="20" customFormat="1" x14ac:dyDescent="0.3">
      <c r="A194" s="370">
        <v>45849</v>
      </c>
      <c r="B194" s="37"/>
      <c r="C194" s="14"/>
      <c r="D194" s="14"/>
      <c r="E194" s="14"/>
      <c r="F194" s="14"/>
      <c r="G194" s="58"/>
      <c r="H194" s="58"/>
      <c r="I194" s="60"/>
      <c r="J194" s="165"/>
      <c r="K194" s="14"/>
      <c r="L194" s="50"/>
      <c r="M194" s="90"/>
      <c r="N194" s="30"/>
      <c r="O194" s="87"/>
      <c r="P194" s="377"/>
      <c r="Q194" s="21"/>
      <c r="R194" s="382"/>
      <c r="S194" s="54"/>
      <c r="T194" s="47"/>
      <c r="U194" s="25"/>
      <c r="V194" s="175"/>
      <c r="W194" s="197"/>
      <c r="X194" s="16"/>
      <c r="Y194" s="17"/>
      <c r="Z194" s="18"/>
      <c r="AA194" s="394"/>
      <c r="AB194" s="260"/>
      <c r="AC194" s="200"/>
    </row>
    <row r="195" spans="1:29" s="20" customFormat="1" x14ac:dyDescent="0.3">
      <c r="A195" s="370">
        <v>45850</v>
      </c>
      <c r="B195" s="37"/>
      <c r="C195" s="14"/>
      <c r="D195" s="14"/>
      <c r="E195" s="14"/>
      <c r="F195" s="14"/>
      <c r="G195" s="58"/>
      <c r="H195" s="58"/>
      <c r="I195" s="60"/>
      <c r="J195" s="165"/>
      <c r="K195" s="14"/>
      <c r="L195" s="50"/>
      <c r="M195" s="90"/>
      <c r="N195" s="30"/>
      <c r="O195" s="87"/>
      <c r="P195" s="377"/>
      <c r="Q195" s="21"/>
      <c r="R195" s="382"/>
      <c r="S195" s="54"/>
      <c r="T195" s="47"/>
      <c r="U195" s="25"/>
      <c r="V195" s="175"/>
      <c r="W195" s="197"/>
      <c r="X195" s="16"/>
      <c r="Y195" s="17"/>
      <c r="Z195" s="18"/>
      <c r="AA195" s="394"/>
      <c r="AB195" s="260"/>
      <c r="AC195" s="200"/>
    </row>
    <row r="196" spans="1:29" s="20" customFormat="1" x14ac:dyDescent="0.3">
      <c r="A196" s="370">
        <v>45851</v>
      </c>
      <c r="B196" s="37"/>
      <c r="C196" s="14"/>
      <c r="D196" s="14"/>
      <c r="E196" s="14"/>
      <c r="F196" s="14"/>
      <c r="G196" s="58"/>
      <c r="H196" s="58"/>
      <c r="I196" s="60"/>
      <c r="J196" s="165"/>
      <c r="K196" s="14"/>
      <c r="L196" s="50"/>
      <c r="M196" s="90"/>
      <c r="N196" s="30"/>
      <c r="O196" s="87"/>
      <c r="P196" s="377"/>
      <c r="Q196" s="21"/>
      <c r="R196" s="382"/>
      <c r="S196" s="54"/>
      <c r="T196" s="47"/>
      <c r="U196" s="25"/>
      <c r="V196" s="175"/>
      <c r="W196" s="198"/>
      <c r="X196" s="26"/>
      <c r="Y196" s="27"/>
      <c r="Z196" s="28"/>
      <c r="AA196" s="396"/>
      <c r="AB196" s="261"/>
      <c r="AC196" s="200"/>
    </row>
    <row r="197" spans="1:29" s="20" customFormat="1" x14ac:dyDescent="0.3">
      <c r="A197" s="370">
        <v>45852</v>
      </c>
      <c r="B197" s="37"/>
      <c r="C197" s="14"/>
      <c r="D197" s="14"/>
      <c r="E197" s="14"/>
      <c r="F197" s="14"/>
      <c r="G197" s="58"/>
      <c r="H197" s="58"/>
      <c r="I197" s="60"/>
      <c r="J197" s="165"/>
      <c r="K197" s="14"/>
      <c r="L197" s="50"/>
      <c r="M197" s="90"/>
      <c r="N197" s="30"/>
      <c r="O197" s="87"/>
      <c r="P197" s="377"/>
      <c r="Q197" s="21"/>
      <c r="R197" s="382"/>
      <c r="S197" s="54"/>
      <c r="T197" s="47"/>
      <c r="U197" s="25"/>
      <c r="V197" s="175"/>
      <c r="W197" s="198"/>
      <c r="X197" s="26"/>
      <c r="Y197" s="27"/>
      <c r="Z197" s="28"/>
      <c r="AA197" s="396"/>
      <c r="AB197" s="261"/>
      <c r="AC197" s="200"/>
    </row>
    <row r="198" spans="1:29" s="20" customFormat="1" x14ac:dyDescent="0.3">
      <c r="A198" s="370">
        <v>45853</v>
      </c>
      <c r="B198" s="37"/>
      <c r="C198" s="14"/>
      <c r="D198" s="14"/>
      <c r="E198" s="14"/>
      <c r="F198" s="14"/>
      <c r="G198" s="58"/>
      <c r="H198" s="58"/>
      <c r="I198" s="60"/>
      <c r="J198" s="165"/>
      <c r="K198" s="14"/>
      <c r="L198" s="50"/>
      <c r="M198" s="90"/>
      <c r="N198" s="30"/>
      <c r="O198" s="87"/>
      <c r="P198" s="377"/>
      <c r="Q198" s="21"/>
      <c r="R198" s="382"/>
      <c r="S198" s="54"/>
      <c r="T198" s="47"/>
      <c r="U198" s="25"/>
      <c r="V198" s="175"/>
      <c r="W198" s="198"/>
      <c r="X198" s="26"/>
      <c r="Y198" s="27"/>
      <c r="Z198" s="28"/>
      <c r="AA198" s="396"/>
      <c r="AB198" s="261"/>
      <c r="AC198" s="200"/>
    </row>
    <row r="199" spans="1:29" s="20" customFormat="1" x14ac:dyDescent="0.3">
      <c r="A199" s="370">
        <v>45854</v>
      </c>
      <c r="B199" s="37"/>
      <c r="C199" s="14"/>
      <c r="D199" s="14"/>
      <c r="E199" s="14"/>
      <c r="F199" s="14"/>
      <c r="G199" s="58"/>
      <c r="H199" s="58"/>
      <c r="I199" s="60"/>
      <c r="J199" s="165"/>
      <c r="K199" s="14"/>
      <c r="L199" s="50"/>
      <c r="M199" s="90"/>
      <c r="N199" s="30"/>
      <c r="O199" s="87"/>
      <c r="P199" s="377"/>
      <c r="Q199" s="21"/>
      <c r="R199" s="382"/>
      <c r="S199" s="54"/>
      <c r="T199" s="47"/>
      <c r="U199" s="25"/>
      <c r="V199" s="175"/>
      <c r="W199" s="198"/>
      <c r="X199" s="26"/>
      <c r="Y199" s="27"/>
      <c r="Z199" s="28"/>
      <c r="AA199" s="396"/>
      <c r="AB199" s="261"/>
      <c r="AC199" s="200"/>
    </row>
    <row r="200" spans="1:29" s="20" customFormat="1" x14ac:dyDescent="0.3">
      <c r="A200" s="370">
        <v>45855</v>
      </c>
      <c r="B200" s="37"/>
      <c r="C200" s="14"/>
      <c r="D200" s="14"/>
      <c r="E200" s="14"/>
      <c r="F200" s="14"/>
      <c r="G200" s="58"/>
      <c r="H200" s="58"/>
      <c r="I200" s="60"/>
      <c r="J200" s="165"/>
      <c r="K200" s="14"/>
      <c r="L200" s="50"/>
      <c r="M200" s="90"/>
      <c r="N200" s="30"/>
      <c r="O200" s="87"/>
      <c r="P200" s="377"/>
      <c r="Q200" s="21"/>
      <c r="R200" s="382"/>
      <c r="S200" s="54"/>
      <c r="T200" s="47"/>
      <c r="U200" s="25"/>
      <c r="V200" s="175"/>
      <c r="W200" s="198"/>
      <c r="X200" s="26"/>
      <c r="Y200" s="27"/>
      <c r="Z200" s="28"/>
      <c r="AA200" s="396"/>
      <c r="AB200" s="261"/>
      <c r="AC200" s="200"/>
    </row>
    <row r="201" spans="1:29" s="20" customFormat="1" x14ac:dyDescent="0.3">
      <c r="A201" s="370">
        <v>45856</v>
      </c>
      <c r="B201" s="37"/>
      <c r="C201" s="14"/>
      <c r="D201" s="14"/>
      <c r="E201" s="14"/>
      <c r="F201" s="14"/>
      <c r="G201" s="58"/>
      <c r="H201" s="58"/>
      <c r="I201" s="60"/>
      <c r="J201" s="165"/>
      <c r="K201" s="14"/>
      <c r="L201" s="50"/>
      <c r="M201" s="90"/>
      <c r="N201" s="30"/>
      <c r="O201" s="87"/>
      <c r="P201" s="377"/>
      <c r="Q201" s="21"/>
      <c r="R201" s="382"/>
      <c r="S201" s="54"/>
      <c r="T201" s="47"/>
      <c r="U201" s="25"/>
      <c r="V201" s="175"/>
      <c r="W201" s="198"/>
      <c r="X201" s="26"/>
      <c r="Y201" s="27"/>
      <c r="Z201" s="28"/>
      <c r="AA201" s="396"/>
      <c r="AB201" s="261"/>
      <c r="AC201" s="200"/>
    </row>
    <row r="202" spans="1:29" s="20" customFormat="1" x14ac:dyDescent="0.3">
      <c r="A202" s="370">
        <v>45857</v>
      </c>
      <c r="B202" s="37"/>
      <c r="C202" s="14"/>
      <c r="D202" s="14"/>
      <c r="E202" s="14"/>
      <c r="F202" s="14"/>
      <c r="G202" s="58"/>
      <c r="H202" s="58"/>
      <c r="I202" s="60"/>
      <c r="J202" s="165"/>
      <c r="K202" s="14"/>
      <c r="L202" s="50"/>
      <c r="M202" s="90"/>
      <c r="N202" s="30"/>
      <c r="O202" s="87"/>
      <c r="P202" s="377"/>
      <c r="Q202" s="21"/>
      <c r="R202" s="382"/>
      <c r="S202" s="54"/>
      <c r="T202" s="47"/>
      <c r="U202" s="25"/>
      <c r="V202" s="175"/>
      <c r="W202" s="198"/>
      <c r="X202" s="26"/>
      <c r="Y202" s="27"/>
      <c r="Z202" s="28"/>
      <c r="AA202" s="396"/>
      <c r="AB202" s="261"/>
      <c r="AC202" s="200"/>
    </row>
    <row r="203" spans="1:29" s="20" customFormat="1" x14ac:dyDescent="0.3">
      <c r="A203" s="370">
        <v>45858</v>
      </c>
      <c r="B203" s="37"/>
      <c r="C203" s="14"/>
      <c r="D203" s="14"/>
      <c r="E203" s="14"/>
      <c r="F203" s="14"/>
      <c r="G203" s="58"/>
      <c r="H203" s="58"/>
      <c r="I203" s="60"/>
      <c r="J203" s="165"/>
      <c r="K203" s="14"/>
      <c r="L203" s="50"/>
      <c r="M203" s="90"/>
      <c r="N203" s="30"/>
      <c r="O203" s="87"/>
      <c r="P203" s="377"/>
      <c r="Q203" s="21"/>
      <c r="R203" s="382"/>
      <c r="S203" s="54"/>
      <c r="T203" s="47"/>
      <c r="U203" s="25"/>
      <c r="V203" s="175"/>
      <c r="W203" s="198"/>
      <c r="X203" s="26"/>
      <c r="Y203" s="27"/>
      <c r="Z203" s="28"/>
      <c r="AA203" s="396"/>
      <c r="AB203" s="261"/>
      <c r="AC203" s="200"/>
    </row>
    <row r="204" spans="1:29" s="20" customFormat="1" x14ac:dyDescent="0.3">
      <c r="A204" s="370">
        <v>45859</v>
      </c>
      <c r="B204" s="37"/>
      <c r="C204" s="14"/>
      <c r="D204" s="14"/>
      <c r="E204" s="14"/>
      <c r="F204" s="14"/>
      <c r="G204" s="58"/>
      <c r="H204" s="58"/>
      <c r="I204" s="60"/>
      <c r="J204" s="165"/>
      <c r="K204" s="14"/>
      <c r="L204" s="50"/>
      <c r="M204" s="90"/>
      <c r="N204" s="30"/>
      <c r="O204" s="87"/>
      <c r="P204" s="377"/>
      <c r="Q204" s="21"/>
      <c r="R204" s="382"/>
      <c r="S204" s="54"/>
      <c r="T204" s="47"/>
      <c r="U204" s="25"/>
      <c r="V204" s="175"/>
      <c r="W204" s="198"/>
      <c r="X204" s="26"/>
      <c r="Y204" s="27"/>
      <c r="Z204" s="28"/>
      <c r="AA204" s="396"/>
      <c r="AB204" s="261"/>
      <c r="AC204" s="200"/>
    </row>
    <row r="205" spans="1:29" s="20" customFormat="1" x14ac:dyDescent="0.3">
      <c r="A205" s="370">
        <v>45860</v>
      </c>
      <c r="B205" s="37"/>
      <c r="C205" s="14"/>
      <c r="D205" s="14"/>
      <c r="E205" s="14"/>
      <c r="F205" s="14"/>
      <c r="G205" s="58"/>
      <c r="H205" s="58"/>
      <c r="I205" s="60"/>
      <c r="J205" s="165"/>
      <c r="K205" s="14"/>
      <c r="L205" s="50"/>
      <c r="M205" s="90"/>
      <c r="N205" s="30"/>
      <c r="O205" s="87"/>
      <c r="P205" s="377"/>
      <c r="Q205" s="21"/>
      <c r="R205" s="382"/>
      <c r="S205" s="54"/>
      <c r="T205" s="47"/>
      <c r="U205" s="25"/>
      <c r="V205" s="175"/>
      <c r="W205" s="198"/>
      <c r="X205" s="26"/>
      <c r="Y205" s="27"/>
      <c r="Z205" s="28"/>
      <c r="AA205" s="396"/>
      <c r="AB205" s="261"/>
      <c r="AC205" s="200"/>
    </row>
    <row r="206" spans="1:29" s="20" customFormat="1" x14ac:dyDescent="0.3">
      <c r="A206" s="370">
        <v>45861</v>
      </c>
      <c r="B206" s="37"/>
      <c r="C206" s="14"/>
      <c r="D206" s="14"/>
      <c r="E206" s="14"/>
      <c r="F206" s="14"/>
      <c r="G206" s="58"/>
      <c r="H206" s="58"/>
      <c r="I206" s="60"/>
      <c r="J206" s="165"/>
      <c r="K206" s="14"/>
      <c r="L206" s="50"/>
      <c r="M206" s="90"/>
      <c r="N206" s="30"/>
      <c r="O206" s="87"/>
      <c r="P206" s="377"/>
      <c r="Q206" s="21"/>
      <c r="R206" s="382"/>
      <c r="S206" s="54"/>
      <c r="T206" s="47"/>
      <c r="U206" s="25"/>
      <c r="V206" s="175"/>
      <c r="W206" s="198"/>
      <c r="X206" s="26"/>
      <c r="Y206" s="27"/>
      <c r="Z206" s="28"/>
      <c r="AA206" s="396"/>
      <c r="AB206" s="261"/>
      <c r="AC206" s="200"/>
    </row>
    <row r="207" spans="1:29" s="20" customFormat="1" x14ac:dyDescent="0.3">
      <c r="A207" s="370">
        <v>45862</v>
      </c>
      <c r="B207" s="37"/>
      <c r="C207" s="14"/>
      <c r="D207" s="14"/>
      <c r="E207" s="14"/>
      <c r="F207" s="14"/>
      <c r="G207" s="58"/>
      <c r="H207" s="58"/>
      <c r="I207" s="60"/>
      <c r="J207" s="165"/>
      <c r="K207" s="14"/>
      <c r="L207" s="50"/>
      <c r="M207" s="90"/>
      <c r="N207" s="30"/>
      <c r="O207" s="87"/>
      <c r="P207" s="377"/>
      <c r="Q207" s="21"/>
      <c r="R207" s="382"/>
      <c r="S207" s="54"/>
      <c r="T207" s="47"/>
      <c r="U207" s="25"/>
      <c r="V207" s="175"/>
      <c r="W207" s="198"/>
      <c r="X207" s="26"/>
      <c r="Y207" s="27"/>
      <c r="Z207" s="28"/>
      <c r="AA207" s="396"/>
      <c r="AB207" s="261"/>
      <c r="AC207" s="200"/>
    </row>
    <row r="208" spans="1:29" s="20" customFormat="1" x14ac:dyDescent="0.3">
      <c r="A208" s="370">
        <v>45863</v>
      </c>
      <c r="B208" s="37"/>
      <c r="C208" s="14"/>
      <c r="D208" s="14"/>
      <c r="E208" s="14"/>
      <c r="F208" s="14"/>
      <c r="G208" s="58"/>
      <c r="H208" s="58"/>
      <c r="I208" s="60"/>
      <c r="J208" s="165"/>
      <c r="K208" s="14"/>
      <c r="L208" s="50"/>
      <c r="M208" s="90"/>
      <c r="N208" s="30"/>
      <c r="O208" s="87"/>
      <c r="P208" s="377"/>
      <c r="Q208" s="21"/>
      <c r="R208" s="382"/>
      <c r="S208" s="54"/>
      <c r="T208" s="47"/>
      <c r="U208" s="25"/>
      <c r="V208" s="175"/>
      <c r="W208" s="198"/>
      <c r="X208" s="26"/>
      <c r="Y208" s="27"/>
      <c r="Z208" s="28"/>
      <c r="AA208" s="396"/>
      <c r="AB208" s="261"/>
      <c r="AC208" s="200"/>
    </row>
    <row r="209" spans="1:29" s="20" customFormat="1" x14ac:dyDescent="0.3">
      <c r="A209" s="370">
        <v>45864</v>
      </c>
      <c r="B209" s="37"/>
      <c r="C209" s="14"/>
      <c r="D209" s="14"/>
      <c r="E209" s="14"/>
      <c r="F209" s="14"/>
      <c r="G209" s="58"/>
      <c r="H209" s="58"/>
      <c r="I209" s="60"/>
      <c r="J209" s="165"/>
      <c r="K209" s="14"/>
      <c r="L209" s="50"/>
      <c r="M209" s="90"/>
      <c r="N209" s="30"/>
      <c r="O209" s="87"/>
      <c r="P209" s="377"/>
      <c r="Q209" s="21"/>
      <c r="R209" s="382"/>
      <c r="S209" s="54"/>
      <c r="T209" s="47"/>
      <c r="U209" s="25"/>
      <c r="V209" s="175"/>
      <c r="W209" s="198"/>
      <c r="X209" s="26"/>
      <c r="Y209" s="27"/>
      <c r="Z209" s="28"/>
      <c r="AA209" s="396"/>
      <c r="AB209" s="261"/>
      <c r="AC209" s="200"/>
    </row>
    <row r="210" spans="1:29" s="20" customFormat="1" x14ac:dyDescent="0.3">
      <c r="A210" s="370">
        <v>45865</v>
      </c>
      <c r="B210" s="37"/>
      <c r="C210" s="14"/>
      <c r="D210" s="14"/>
      <c r="E210" s="14"/>
      <c r="F210" s="14"/>
      <c r="G210" s="58"/>
      <c r="H210" s="58"/>
      <c r="I210" s="60"/>
      <c r="J210" s="165"/>
      <c r="K210" s="14"/>
      <c r="L210" s="50"/>
      <c r="M210" s="90"/>
      <c r="N210" s="30"/>
      <c r="O210" s="87"/>
      <c r="P210" s="377"/>
      <c r="Q210" s="21"/>
      <c r="R210" s="382"/>
      <c r="S210" s="54"/>
      <c r="T210" s="47"/>
      <c r="U210" s="25"/>
      <c r="V210" s="175"/>
      <c r="W210" s="198"/>
      <c r="X210" s="26"/>
      <c r="Y210" s="27"/>
      <c r="Z210" s="28"/>
      <c r="AA210" s="396"/>
      <c r="AB210" s="261"/>
      <c r="AC210" s="200"/>
    </row>
    <row r="211" spans="1:29" s="20" customFormat="1" x14ac:dyDescent="0.3">
      <c r="A211" s="370">
        <v>45866</v>
      </c>
      <c r="B211" s="37"/>
      <c r="C211" s="14"/>
      <c r="D211" s="14"/>
      <c r="E211" s="14"/>
      <c r="F211" s="14"/>
      <c r="G211" s="58"/>
      <c r="H211" s="58"/>
      <c r="I211" s="60"/>
      <c r="J211" s="165"/>
      <c r="K211" s="14"/>
      <c r="L211" s="50"/>
      <c r="M211" s="90"/>
      <c r="N211" s="30"/>
      <c r="O211" s="87"/>
      <c r="P211" s="377"/>
      <c r="Q211" s="21"/>
      <c r="R211" s="382"/>
      <c r="S211" s="54"/>
      <c r="T211" s="47"/>
      <c r="U211" s="25"/>
      <c r="V211" s="175"/>
      <c r="W211" s="198"/>
      <c r="X211" s="26"/>
      <c r="Y211" s="27"/>
      <c r="Z211" s="28"/>
      <c r="AA211" s="396"/>
      <c r="AB211" s="261"/>
      <c r="AC211" s="200"/>
    </row>
    <row r="212" spans="1:29" s="20" customFormat="1" x14ac:dyDescent="0.3">
      <c r="A212" s="370">
        <v>45867</v>
      </c>
      <c r="B212" s="37"/>
      <c r="C212" s="14"/>
      <c r="D212" s="14"/>
      <c r="E212" s="14"/>
      <c r="F212" s="14"/>
      <c r="G212" s="58"/>
      <c r="H212" s="58"/>
      <c r="I212" s="60"/>
      <c r="J212" s="165"/>
      <c r="K212" s="14"/>
      <c r="L212" s="50"/>
      <c r="M212" s="90"/>
      <c r="N212" s="30"/>
      <c r="O212" s="87"/>
      <c r="P212" s="377"/>
      <c r="Q212" s="21"/>
      <c r="R212" s="382"/>
      <c r="S212" s="54"/>
      <c r="T212" s="47"/>
      <c r="U212" s="25"/>
      <c r="V212" s="175"/>
      <c r="W212" s="198"/>
      <c r="X212" s="26"/>
      <c r="Y212" s="27"/>
      <c r="Z212" s="28"/>
      <c r="AA212" s="396"/>
      <c r="AB212" s="261"/>
      <c r="AC212" s="200"/>
    </row>
    <row r="213" spans="1:29" s="20" customFormat="1" x14ac:dyDescent="0.3">
      <c r="A213" s="370">
        <v>45868</v>
      </c>
      <c r="B213" s="37"/>
      <c r="C213" s="14"/>
      <c r="D213" s="14"/>
      <c r="E213" s="14"/>
      <c r="F213" s="14"/>
      <c r="G213" s="58"/>
      <c r="H213" s="58"/>
      <c r="I213" s="60"/>
      <c r="J213" s="165"/>
      <c r="K213" s="14"/>
      <c r="L213" s="50"/>
      <c r="M213" s="90"/>
      <c r="N213" s="30"/>
      <c r="O213" s="87"/>
      <c r="P213" s="377"/>
      <c r="Q213" s="21"/>
      <c r="R213" s="382"/>
      <c r="S213" s="54"/>
      <c r="T213" s="47"/>
      <c r="U213" s="25"/>
      <c r="V213" s="175"/>
      <c r="W213" s="198"/>
      <c r="X213" s="26"/>
      <c r="Y213" s="27"/>
      <c r="Z213" s="28"/>
      <c r="AA213" s="396"/>
      <c r="AB213" s="261"/>
      <c r="AC213" s="200"/>
    </row>
    <row r="214" spans="1:29" s="257" customFormat="1" ht="15" thickBot="1" x14ac:dyDescent="0.35">
      <c r="A214" s="370">
        <v>45869</v>
      </c>
      <c r="B214" s="38"/>
      <c r="C214" s="22"/>
      <c r="D214" s="22"/>
      <c r="E214" s="22"/>
      <c r="F214" s="22"/>
      <c r="G214" s="22"/>
      <c r="H214" s="22"/>
      <c r="I214" s="61"/>
      <c r="J214" s="166"/>
      <c r="K214" s="22"/>
      <c r="L214" s="256"/>
      <c r="M214" s="364"/>
      <c r="N214" s="155"/>
      <c r="O214" s="156"/>
      <c r="P214" s="381"/>
      <c r="Q214" s="53"/>
      <c r="R214" s="389"/>
      <c r="S214" s="56"/>
      <c r="T214" s="49"/>
      <c r="U214" s="39"/>
      <c r="V214" s="176"/>
      <c r="W214" s="199"/>
      <c r="X214" s="40"/>
      <c r="Y214" s="41"/>
      <c r="Z214" s="42"/>
      <c r="AA214" s="399"/>
      <c r="AB214" s="262"/>
      <c r="AC214" s="404"/>
    </row>
    <row r="215" spans="1:29" s="33" customFormat="1" x14ac:dyDescent="0.3">
      <c r="A215" s="370">
        <v>45870</v>
      </c>
      <c r="B215" s="57"/>
      <c r="C215" s="29"/>
      <c r="D215" s="29"/>
      <c r="E215" s="29"/>
      <c r="F215" s="29"/>
      <c r="G215" s="58"/>
      <c r="H215" s="58"/>
      <c r="I215" s="65"/>
      <c r="J215" s="366"/>
      <c r="K215" s="29"/>
      <c r="L215" s="58"/>
      <c r="M215" s="90"/>
      <c r="N215" s="30"/>
      <c r="O215" s="87"/>
      <c r="P215" s="376"/>
      <c r="Q215" s="31"/>
      <c r="R215" s="382"/>
      <c r="S215" s="89"/>
      <c r="T215" s="88"/>
      <c r="U215" s="32"/>
      <c r="V215" s="174"/>
      <c r="W215" s="363"/>
      <c r="X215" s="84"/>
      <c r="Y215" s="85"/>
      <c r="Z215" s="86"/>
      <c r="AA215" s="393"/>
      <c r="AB215" s="259"/>
      <c r="AC215" s="401"/>
    </row>
    <row r="216" spans="1:29" s="20" customFormat="1" x14ac:dyDescent="0.3">
      <c r="A216" s="370">
        <v>45871</v>
      </c>
      <c r="B216" s="37"/>
      <c r="C216" s="14"/>
      <c r="D216" s="14"/>
      <c r="E216" s="14"/>
      <c r="F216" s="14"/>
      <c r="G216" s="58"/>
      <c r="H216" s="58"/>
      <c r="I216" s="60"/>
      <c r="J216" s="366"/>
      <c r="K216" s="29"/>
      <c r="L216" s="58"/>
      <c r="M216" s="90"/>
      <c r="N216" s="30"/>
      <c r="O216" s="87"/>
      <c r="P216" s="377"/>
      <c r="Q216" s="21"/>
      <c r="R216" s="382"/>
      <c r="S216" s="54"/>
      <c r="T216" s="47"/>
      <c r="U216" s="25"/>
      <c r="V216" s="175"/>
      <c r="W216" s="196"/>
      <c r="X216" s="16"/>
      <c r="Y216" s="17"/>
      <c r="Z216" s="18"/>
      <c r="AA216" s="394"/>
      <c r="AB216" s="260"/>
      <c r="AC216" s="200"/>
    </row>
    <row r="217" spans="1:29" s="20" customFormat="1" x14ac:dyDescent="0.3">
      <c r="A217" s="370">
        <v>45872</v>
      </c>
      <c r="B217" s="37"/>
      <c r="C217" s="14"/>
      <c r="D217" s="14"/>
      <c r="E217" s="14"/>
      <c r="F217" s="14"/>
      <c r="G217" s="58"/>
      <c r="H217" s="58"/>
      <c r="I217" s="60"/>
      <c r="J217" s="366"/>
      <c r="K217" s="29"/>
      <c r="L217" s="58"/>
      <c r="M217" s="90"/>
      <c r="N217" s="30"/>
      <c r="O217" s="87"/>
      <c r="P217" s="377"/>
      <c r="Q217" s="21"/>
      <c r="R217" s="382"/>
      <c r="S217" s="54"/>
      <c r="T217" s="47"/>
      <c r="U217" s="25"/>
      <c r="V217" s="175"/>
      <c r="W217" s="196"/>
      <c r="X217" s="16"/>
      <c r="Y217" s="17"/>
      <c r="Z217" s="18"/>
      <c r="AA217" s="394"/>
      <c r="AB217" s="260"/>
      <c r="AC217" s="200"/>
    </row>
    <row r="218" spans="1:29" s="20" customFormat="1" x14ac:dyDescent="0.3">
      <c r="A218" s="370">
        <v>45873</v>
      </c>
      <c r="B218" s="37"/>
      <c r="C218" s="14"/>
      <c r="D218" s="14"/>
      <c r="E218" s="14"/>
      <c r="F218" s="14"/>
      <c r="G218" s="58"/>
      <c r="H218" s="58"/>
      <c r="I218" s="60"/>
      <c r="J218" s="366"/>
      <c r="K218" s="29"/>
      <c r="L218" s="58"/>
      <c r="M218" s="90"/>
      <c r="N218" s="30"/>
      <c r="O218" s="87"/>
      <c r="P218" s="377"/>
      <c r="Q218" s="21"/>
      <c r="R218" s="382"/>
      <c r="S218" s="55"/>
      <c r="T218" s="48"/>
      <c r="U218" s="19"/>
      <c r="V218" s="175"/>
      <c r="W218" s="197"/>
      <c r="X218" s="16"/>
      <c r="Y218" s="17"/>
      <c r="Z218" s="18"/>
      <c r="AA218" s="394"/>
      <c r="AB218" s="260"/>
      <c r="AC218" s="200"/>
    </row>
    <row r="219" spans="1:29" s="20" customFormat="1" x14ac:dyDescent="0.3">
      <c r="A219" s="370">
        <v>45874</v>
      </c>
      <c r="B219" s="37"/>
      <c r="C219" s="14"/>
      <c r="D219" s="14"/>
      <c r="E219" s="14"/>
      <c r="F219" s="14"/>
      <c r="G219" s="58"/>
      <c r="H219" s="58"/>
      <c r="I219" s="60"/>
      <c r="J219" s="366"/>
      <c r="K219" s="29"/>
      <c r="L219" s="58"/>
      <c r="M219" s="90"/>
      <c r="N219" s="30"/>
      <c r="O219" s="87"/>
      <c r="P219" s="377"/>
      <c r="Q219" s="21"/>
      <c r="R219" s="382"/>
      <c r="S219" s="54"/>
      <c r="T219" s="47"/>
      <c r="U219" s="25"/>
      <c r="V219" s="175"/>
      <c r="W219" s="197"/>
      <c r="X219" s="16"/>
      <c r="Y219" s="17"/>
      <c r="Z219" s="18"/>
      <c r="AA219" s="394"/>
      <c r="AB219" s="260"/>
      <c r="AC219" s="200"/>
    </row>
    <row r="220" spans="1:29" s="20" customFormat="1" x14ac:dyDescent="0.3">
      <c r="A220" s="370">
        <v>45875</v>
      </c>
      <c r="B220" s="37"/>
      <c r="C220" s="14"/>
      <c r="D220" s="14"/>
      <c r="E220" s="14"/>
      <c r="F220" s="14"/>
      <c r="G220" s="58"/>
      <c r="H220" s="58"/>
      <c r="I220" s="60"/>
      <c r="J220" s="366"/>
      <c r="K220" s="29"/>
      <c r="L220" s="58"/>
      <c r="M220" s="90"/>
      <c r="N220" s="30"/>
      <c r="O220" s="87"/>
      <c r="P220" s="377"/>
      <c r="Q220" s="21"/>
      <c r="R220" s="382"/>
      <c r="S220" s="54"/>
      <c r="T220" s="47"/>
      <c r="U220" s="25"/>
      <c r="V220" s="175"/>
      <c r="W220" s="197"/>
      <c r="X220" s="16"/>
      <c r="Y220" s="17"/>
      <c r="Z220" s="18"/>
      <c r="AA220" s="394"/>
      <c r="AB220" s="260"/>
      <c r="AC220" s="200"/>
    </row>
    <row r="221" spans="1:29" s="20" customFormat="1" x14ac:dyDescent="0.3">
      <c r="A221" s="370">
        <v>45876</v>
      </c>
      <c r="B221" s="37"/>
      <c r="C221" s="14"/>
      <c r="D221" s="14"/>
      <c r="E221" s="14"/>
      <c r="F221" s="14"/>
      <c r="G221" s="58"/>
      <c r="H221" s="58"/>
      <c r="I221" s="60"/>
      <c r="J221" s="366"/>
      <c r="K221" s="29"/>
      <c r="L221" s="58"/>
      <c r="M221" s="90"/>
      <c r="N221" s="30"/>
      <c r="O221" s="87"/>
      <c r="P221" s="377"/>
      <c r="Q221" s="21"/>
      <c r="R221" s="382"/>
      <c r="S221" s="54"/>
      <c r="T221" s="47"/>
      <c r="U221" s="25"/>
      <c r="V221" s="175"/>
      <c r="W221" s="197"/>
      <c r="X221" s="16"/>
      <c r="Y221" s="17"/>
      <c r="Z221" s="18"/>
      <c r="AA221" s="394"/>
      <c r="AB221" s="260"/>
      <c r="AC221" s="200"/>
    </row>
    <row r="222" spans="1:29" s="20" customFormat="1" x14ac:dyDescent="0.3">
      <c r="A222" s="370">
        <v>45877</v>
      </c>
      <c r="B222" s="37"/>
      <c r="C222" s="14"/>
      <c r="D222" s="14"/>
      <c r="E222" s="14"/>
      <c r="F222" s="14"/>
      <c r="G222" s="58"/>
      <c r="H222" s="58"/>
      <c r="I222" s="60"/>
      <c r="J222" s="366"/>
      <c r="K222" s="29"/>
      <c r="L222" s="58"/>
      <c r="M222" s="90"/>
      <c r="N222" s="30"/>
      <c r="O222" s="87"/>
      <c r="P222" s="377"/>
      <c r="Q222" s="21"/>
      <c r="R222" s="382"/>
      <c r="S222" s="54"/>
      <c r="T222" s="47"/>
      <c r="U222" s="25"/>
      <c r="V222" s="175"/>
      <c r="W222" s="197"/>
      <c r="X222" s="16"/>
      <c r="Y222" s="17"/>
      <c r="Z222" s="18"/>
      <c r="AA222" s="394"/>
      <c r="AB222" s="260"/>
      <c r="AC222" s="200"/>
    </row>
    <row r="223" spans="1:29" s="20" customFormat="1" x14ac:dyDescent="0.3">
      <c r="A223" s="370">
        <v>45878</v>
      </c>
      <c r="B223" s="37"/>
      <c r="C223" s="14"/>
      <c r="D223" s="14"/>
      <c r="E223" s="14"/>
      <c r="F223" s="14"/>
      <c r="G223" s="58"/>
      <c r="H223" s="58"/>
      <c r="I223" s="60"/>
      <c r="J223" s="366"/>
      <c r="K223" s="29"/>
      <c r="L223" s="58"/>
      <c r="M223" s="90"/>
      <c r="N223" s="30"/>
      <c r="O223" s="87"/>
      <c r="P223" s="377"/>
      <c r="Q223" s="21"/>
      <c r="R223" s="382"/>
      <c r="S223" s="54"/>
      <c r="T223" s="47"/>
      <c r="U223" s="25"/>
      <c r="V223" s="175"/>
      <c r="W223" s="197"/>
      <c r="X223" s="16"/>
      <c r="Y223" s="17"/>
      <c r="Z223" s="18"/>
      <c r="AA223" s="394"/>
      <c r="AB223" s="260"/>
      <c r="AC223" s="200"/>
    </row>
    <row r="224" spans="1:29" s="20" customFormat="1" x14ac:dyDescent="0.3">
      <c r="A224" s="370">
        <v>45879</v>
      </c>
      <c r="B224" s="37"/>
      <c r="C224" s="14"/>
      <c r="D224" s="14"/>
      <c r="E224" s="14"/>
      <c r="F224" s="14"/>
      <c r="G224" s="58"/>
      <c r="H224" s="58"/>
      <c r="I224" s="60"/>
      <c r="J224" s="366"/>
      <c r="K224" s="29"/>
      <c r="L224" s="58"/>
      <c r="M224" s="90"/>
      <c r="N224" s="30"/>
      <c r="O224" s="87"/>
      <c r="P224" s="377"/>
      <c r="Q224" s="21"/>
      <c r="R224" s="382"/>
      <c r="S224" s="54"/>
      <c r="T224" s="47"/>
      <c r="U224" s="25"/>
      <c r="V224" s="175"/>
      <c r="W224" s="197"/>
      <c r="X224" s="16"/>
      <c r="Y224" s="17"/>
      <c r="Z224" s="18"/>
      <c r="AA224" s="394"/>
      <c r="AB224" s="260"/>
      <c r="AC224" s="200"/>
    </row>
    <row r="225" spans="1:29" s="20" customFormat="1" x14ac:dyDescent="0.3">
      <c r="A225" s="370">
        <v>45880</v>
      </c>
      <c r="B225" s="37"/>
      <c r="C225" s="14"/>
      <c r="D225" s="14"/>
      <c r="E225" s="14"/>
      <c r="F225" s="14"/>
      <c r="G225" s="58"/>
      <c r="H225" s="58"/>
      <c r="I225" s="60"/>
      <c r="J225" s="366"/>
      <c r="K225" s="29"/>
      <c r="L225" s="58"/>
      <c r="M225" s="90"/>
      <c r="N225" s="30"/>
      <c r="O225" s="87"/>
      <c r="P225" s="377"/>
      <c r="Q225" s="21"/>
      <c r="R225" s="382"/>
      <c r="S225" s="54"/>
      <c r="T225" s="47"/>
      <c r="U225" s="25"/>
      <c r="V225" s="175"/>
      <c r="W225" s="197"/>
      <c r="X225" s="16"/>
      <c r="Y225" s="17"/>
      <c r="Z225" s="18"/>
      <c r="AA225" s="394"/>
      <c r="AB225" s="260"/>
      <c r="AC225" s="200"/>
    </row>
    <row r="226" spans="1:29" s="20" customFormat="1" x14ac:dyDescent="0.3">
      <c r="A226" s="370">
        <v>45881</v>
      </c>
      <c r="B226" s="37"/>
      <c r="C226" s="14"/>
      <c r="D226" s="14"/>
      <c r="E226" s="14"/>
      <c r="F226" s="14"/>
      <c r="G226" s="58"/>
      <c r="H226" s="58"/>
      <c r="I226" s="60"/>
      <c r="J226" s="366"/>
      <c r="K226" s="29"/>
      <c r="L226" s="58"/>
      <c r="M226" s="90"/>
      <c r="N226" s="30"/>
      <c r="O226" s="87"/>
      <c r="P226" s="377"/>
      <c r="Q226" s="21"/>
      <c r="R226" s="382"/>
      <c r="S226" s="54"/>
      <c r="T226" s="47"/>
      <c r="U226" s="25"/>
      <c r="V226" s="175"/>
      <c r="W226" s="197"/>
      <c r="X226" s="16"/>
      <c r="Y226" s="17"/>
      <c r="Z226" s="18"/>
      <c r="AA226" s="394"/>
      <c r="AB226" s="260"/>
      <c r="AC226" s="200"/>
    </row>
    <row r="227" spans="1:29" s="20" customFormat="1" x14ac:dyDescent="0.3">
      <c r="A227" s="370">
        <v>45882</v>
      </c>
      <c r="B227" s="37"/>
      <c r="C227" s="14"/>
      <c r="D227" s="14"/>
      <c r="E227" s="14"/>
      <c r="F227" s="14"/>
      <c r="G227" s="58"/>
      <c r="H227" s="58"/>
      <c r="I227" s="60"/>
      <c r="J227" s="366"/>
      <c r="K227" s="29"/>
      <c r="L227" s="58"/>
      <c r="M227" s="90"/>
      <c r="N227" s="30"/>
      <c r="O227" s="87"/>
      <c r="P227" s="377"/>
      <c r="Q227" s="21"/>
      <c r="R227" s="382"/>
      <c r="S227" s="54"/>
      <c r="T227" s="47"/>
      <c r="U227" s="25"/>
      <c r="V227" s="175"/>
      <c r="W227" s="198"/>
      <c r="X227" s="26"/>
      <c r="Y227" s="27"/>
      <c r="Z227" s="28"/>
      <c r="AA227" s="396"/>
      <c r="AB227" s="261"/>
      <c r="AC227" s="200"/>
    </row>
    <row r="228" spans="1:29" s="20" customFormat="1" x14ac:dyDescent="0.3">
      <c r="A228" s="370">
        <v>45883</v>
      </c>
      <c r="B228" s="37"/>
      <c r="C228" s="14"/>
      <c r="D228" s="14"/>
      <c r="E228" s="14"/>
      <c r="F228" s="14"/>
      <c r="G228" s="58"/>
      <c r="H228" s="58"/>
      <c r="I228" s="60"/>
      <c r="J228" s="366"/>
      <c r="K228" s="29"/>
      <c r="L228" s="58"/>
      <c r="M228" s="90"/>
      <c r="N228" s="30"/>
      <c r="O228" s="87"/>
      <c r="P228" s="377"/>
      <c r="Q228" s="21"/>
      <c r="R228" s="382"/>
      <c r="S228" s="54"/>
      <c r="T228" s="47"/>
      <c r="U228" s="25"/>
      <c r="V228" s="175"/>
      <c r="W228" s="198"/>
      <c r="X228" s="26"/>
      <c r="Y228" s="27"/>
      <c r="Z228" s="28"/>
      <c r="AA228" s="396"/>
      <c r="AB228" s="261"/>
      <c r="AC228" s="200"/>
    </row>
    <row r="229" spans="1:29" s="20" customFormat="1" x14ac:dyDescent="0.3">
      <c r="A229" s="370">
        <v>45884</v>
      </c>
      <c r="B229" s="37"/>
      <c r="C229" s="14"/>
      <c r="D229" s="14"/>
      <c r="E229" s="14"/>
      <c r="F229" s="14"/>
      <c r="G229" s="58"/>
      <c r="H229" s="58"/>
      <c r="I229" s="60"/>
      <c r="J229" s="366"/>
      <c r="K229" s="29"/>
      <c r="L229" s="58"/>
      <c r="M229" s="90"/>
      <c r="N229" s="30"/>
      <c r="O229" s="87"/>
      <c r="P229" s="377"/>
      <c r="Q229" s="21"/>
      <c r="R229" s="382"/>
      <c r="S229" s="54"/>
      <c r="T229" s="47"/>
      <c r="U229" s="25"/>
      <c r="V229" s="175"/>
      <c r="W229" s="198"/>
      <c r="X229" s="26"/>
      <c r="Y229" s="27"/>
      <c r="Z229" s="28"/>
      <c r="AA229" s="396"/>
      <c r="AB229" s="261"/>
      <c r="AC229" s="200"/>
    </row>
    <row r="230" spans="1:29" s="20" customFormat="1" x14ac:dyDescent="0.3">
      <c r="A230" s="370">
        <v>45885</v>
      </c>
      <c r="B230" s="37"/>
      <c r="C230" s="14"/>
      <c r="D230" s="14"/>
      <c r="E230" s="14"/>
      <c r="F230" s="14"/>
      <c r="G230" s="58"/>
      <c r="H230" s="58"/>
      <c r="I230" s="60"/>
      <c r="J230" s="366"/>
      <c r="K230" s="29"/>
      <c r="L230" s="58"/>
      <c r="M230" s="90"/>
      <c r="N230" s="30"/>
      <c r="O230" s="87"/>
      <c r="P230" s="377"/>
      <c r="Q230" s="21"/>
      <c r="R230" s="382"/>
      <c r="S230" s="54"/>
      <c r="T230" s="47"/>
      <c r="U230" s="25"/>
      <c r="V230" s="175"/>
      <c r="W230" s="198"/>
      <c r="X230" s="26"/>
      <c r="Y230" s="27"/>
      <c r="Z230" s="28"/>
      <c r="AA230" s="396"/>
      <c r="AB230" s="261"/>
      <c r="AC230" s="200"/>
    </row>
    <row r="231" spans="1:29" s="20" customFormat="1" x14ac:dyDescent="0.3">
      <c r="A231" s="370">
        <v>45886</v>
      </c>
      <c r="B231" s="37"/>
      <c r="C231" s="14"/>
      <c r="D231" s="14"/>
      <c r="E231" s="14"/>
      <c r="F231" s="14"/>
      <c r="G231" s="58"/>
      <c r="H231" s="58"/>
      <c r="I231" s="60"/>
      <c r="J231" s="366"/>
      <c r="K231" s="29"/>
      <c r="L231" s="58"/>
      <c r="M231" s="90"/>
      <c r="N231" s="30"/>
      <c r="O231" s="87"/>
      <c r="P231" s="377"/>
      <c r="Q231" s="21"/>
      <c r="R231" s="382"/>
      <c r="S231" s="54"/>
      <c r="T231" s="47"/>
      <c r="U231" s="25"/>
      <c r="V231" s="175"/>
      <c r="W231" s="198"/>
      <c r="X231" s="26"/>
      <c r="Y231" s="27"/>
      <c r="Z231" s="28"/>
      <c r="AA231" s="396"/>
      <c r="AB231" s="261"/>
      <c r="AC231" s="200"/>
    </row>
    <row r="232" spans="1:29" s="20" customFormat="1" x14ac:dyDescent="0.3">
      <c r="A232" s="370">
        <v>45887</v>
      </c>
      <c r="B232" s="37"/>
      <c r="C232" s="14"/>
      <c r="D232" s="14"/>
      <c r="E232" s="14"/>
      <c r="F232" s="14"/>
      <c r="G232" s="58"/>
      <c r="H232" s="58"/>
      <c r="I232" s="60"/>
      <c r="J232" s="366"/>
      <c r="K232" s="29"/>
      <c r="L232" s="58"/>
      <c r="M232" s="90"/>
      <c r="N232" s="30"/>
      <c r="O232" s="87"/>
      <c r="P232" s="377"/>
      <c r="Q232" s="21"/>
      <c r="R232" s="382"/>
      <c r="S232" s="54"/>
      <c r="T232" s="47"/>
      <c r="U232" s="25"/>
      <c r="V232" s="175"/>
      <c r="W232" s="198"/>
      <c r="X232" s="26"/>
      <c r="Y232" s="27"/>
      <c r="Z232" s="28"/>
      <c r="AA232" s="396"/>
      <c r="AB232" s="261"/>
      <c r="AC232" s="200"/>
    </row>
    <row r="233" spans="1:29" s="20" customFormat="1" x14ac:dyDescent="0.3">
      <c r="A233" s="370">
        <v>45888</v>
      </c>
      <c r="B233" s="37"/>
      <c r="C233" s="14"/>
      <c r="D233" s="14"/>
      <c r="E233" s="14"/>
      <c r="F233" s="14"/>
      <c r="G233" s="58"/>
      <c r="H233" s="58"/>
      <c r="I233" s="60"/>
      <c r="J233" s="366"/>
      <c r="K233" s="29"/>
      <c r="L233" s="58"/>
      <c r="M233" s="90"/>
      <c r="N233" s="30"/>
      <c r="O233" s="87"/>
      <c r="P233" s="377"/>
      <c r="Q233" s="21"/>
      <c r="R233" s="382"/>
      <c r="S233" s="54"/>
      <c r="T233" s="47"/>
      <c r="U233" s="25"/>
      <c r="V233" s="175"/>
      <c r="W233" s="198"/>
      <c r="X233" s="26"/>
      <c r="Y233" s="27"/>
      <c r="Z233" s="28"/>
      <c r="AA233" s="396"/>
      <c r="AB233" s="261"/>
      <c r="AC233" s="200"/>
    </row>
    <row r="234" spans="1:29" s="20" customFormat="1" x14ac:dyDescent="0.3">
      <c r="A234" s="370">
        <v>45889</v>
      </c>
      <c r="B234" s="37"/>
      <c r="C234" s="14"/>
      <c r="D234" s="14"/>
      <c r="E234" s="14"/>
      <c r="F234" s="14"/>
      <c r="G234" s="58"/>
      <c r="H234" s="58"/>
      <c r="I234" s="60"/>
      <c r="J234" s="366"/>
      <c r="K234" s="29"/>
      <c r="L234" s="58"/>
      <c r="M234" s="90"/>
      <c r="N234" s="30"/>
      <c r="O234" s="87"/>
      <c r="P234" s="377"/>
      <c r="Q234" s="21"/>
      <c r="R234" s="382"/>
      <c r="S234" s="54"/>
      <c r="T234" s="47"/>
      <c r="U234" s="25"/>
      <c r="V234" s="175"/>
      <c r="W234" s="198"/>
      <c r="X234" s="26"/>
      <c r="Y234" s="27"/>
      <c r="Z234" s="28"/>
      <c r="AA234" s="396"/>
      <c r="AB234" s="261"/>
      <c r="AC234" s="200"/>
    </row>
    <row r="235" spans="1:29" s="20" customFormat="1" x14ac:dyDescent="0.3">
      <c r="A235" s="370">
        <v>45890</v>
      </c>
      <c r="B235" s="37"/>
      <c r="C235" s="14"/>
      <c r="D235" s="14"/>
      <c r="E235" s="14"/>
      <c r="F235" s="14"/>
      <c r="G235" s="58"/>
      <c r="H235" s="58"/>
      <c r="I235" s="60"/>
      <c r="J235" s="366"/>
      <c r="K235" s="29"/>
      <c r="L235" s="58"/>
      <c r="M235" s="90"/>
      <c r="N235" s="30"/>
      <c r="O235" s="87"/>
      <c r="P235" s="377"/>
      <c r="Q235" s="21"/>
      <c r="R235" s="382"/>
      <c r="S235" s="54"/>
      <c r="T235" s="47"/>
      <c r="U235" s="25"/>
      <c r="V235" s="175"/>
      <c r="W235" s="198"/>
      <c r="X235" s="26"/>
      <c r="Y235" s="27"/>
      <c r="Z235" s="28"/>
      <c r="AA235" s="396"/>
      <c r="AB235" s="261"/>
      <c r="AC235" s="200"/>
    </row>
    <row r="236" spans="1:29" s="20" customFormat="1" x14ac:dyDescent="0.3">
      <c r="A236" s="370">
        <v>45891</v>
      </c>
      <c r="B236" s="37"/>
      <c r="C236" s="14"/>
      <c r="D236" s="14"/>
      <c r="E236" s="14"/>
      <c r="F236" s="14"/>
      <c r="G236" s="58"/>
      <c r="H236" s="58"/>
      <c r="I236" s="60"/>
      <c r="J236" s="366"/>
      <c r="K236" s="29"/>
      <c r="L236" s="58"/>
      <c r="M236" s="90"/>
      <c r="N236" s="30"/>
      <c r="O236" s="87"/>
      <c r="P236" s="377"/>
      <c r="Q236" s="21"/>
      <c r="R236" s="382"/>
      <c r="S236" s="54"/>
      <c r="T236" s="47"/>
      <c r="U236" s="25"/>
      <c r="V236" s="175"/>
      <c r="W236" s="198"/>
      <c r="X236" s="26"/>
      <c r="Y236" s="27"/>
      <c r="Z236" s="28"/>
      <c r="AA236" s="396"/>
      <c r="AB236" s="261"/>
      <c r="AC236" s="200"/>
    </row>
    <row r="237" spans="1:29" s="20" customFormat="1" x14ac:dyDescent="0.3">
      <c r="A237" s="370">
        <v>45892</v>
      </c>
      <c r="B237" s="37"/>
      <c r="C237" s="14"/>
      <c r="D237" s="14"/>
      <c r="E237" s="14"/>
      <c r="F237" s="14"/>
      <c r="G237" s="58"/>
      <c r="H237" s="58"/>
      <c r="I237" s="60"/>
      <c r="J237" s="366"/>
      <c r="K237" s="29"/>
      <c r="L237" s="58"/>
      <c r="M237" s="90"/>
      <c r="N237" s="30"/>
      <c r="O237" s="87"/>
      <c r="P237" s="377"/>
      <c r="Q237" s="21"/>
      <c r="R237" s="382"/>
      <c r="S237" s="54"/>
      <c r="T237" s="47"/>
      <c r="U237" s="25"/>
      <c r="V237" s="175"/>
      <c r="W237" s="198"/>
      <c r="X237" s="26"/>
      <c r="Y237" s="27"/>
      <c r="Z237" s="28"/>
      <c r="AA237" s="396"/>
      <c r="AB237" s="261"/>
      <c r="AC237" s="200"/>
    </row>
    <row r="238" spans="1:29" s="20" customFormat="1" x14ac:dyDescent="0.3">
      <c r="A238" s="370">
        <v>45893</v>
      </c>
      <c r="B238" s="37"/>
      <c r="C238" s="14"/>
      <c r="D238" s="14"/>
      <c r="E238" s="14"/>
      <c r="F238" s="14"/>
      <c r="G238" s="58"/>
      <c r="H238" s="58"/>
      <c r="I238" s="60"/>
      <c r="J238" s="366"/>
      <c r="K238" s="29"/>
      <c r="L238" s="58"/>
      <c r="M238" s="90"/>
      <c r="N238" s="30"/>
      <c r="O238" s="87"/>
      <c r="P238" s="377"/>
      <c r="Q238" s="21"/>
      <c r="R238" s="382"/>
      <c r="S238" s="54"/>
      <c r="T238" s="47"/>
      <c r="U238" s="25"/>
      <c r="V238" s="175"/>
      <c r="W238" s="198"/>
      <c r="X238" s="26"/>
      <c r="Y238" s="27"/>
      <c r="Z238" s="28"/>
      <c r="AA238" s="396"/>
      <c r="AB238" s="261"/>
      <c r="AC238" s="200"/>
    </row>
    <row r="239" spans="1:29" s="20" customFormat="1" x14ac:dyDescent="0.3">
      <c r="A239" s="370">
        <v>45894</v>
      </c>
      <c r="B239" s="37"/>
      <c r="C239" s="14"/>
      <c r="D239" s="14"/>
      <c r="E239" s="14"/>
      <c r="F239" s="14"/>
      <c r="G239" s="58"/>
      <c r="H239" s="58"/>
      <c r="I239" s="60"/>
      <c r="J239" s="366"/>
      <c r="K239" s="29"/>
      <c r="L239" s="58"/>
      <c r="M239" s="90"/>
      <c r="N239" s="30"/>
      <c r="O239" s="87"/>
      <c r="P239" s="377"/>
      <c r="Q239" s="21"/>
      <c r="R239" s="382"/>
      <c r="S239" s="54"/>
      <c r="T239" s="47"/>
      <c r="U239" s="25"/>
      <c r="V239" s="175"/>
      <c r="W239" s="198"/>
      <c r="X239" s="26"/>
      <c r="Y239" s="27"/>
      <c r="Z239" s="28"/>
      <c r="AA239" s="396"/>
      <c r="AB239" s="261"/>
      <c r="AC239" s="200"/>
    </row>
    <row r="240" spans="1:29" s="20" customFormat="1" x14ac:dyDescent="0.3">
      <c r="A240" s="370">
        <v>45895</v>
      </c>
      <c r="B240" s="37"/>
      <c r="C240" s="14"/>
      <c r="D240" s="14"/>
      <c r="E240" s="14"/>
      <c r="F240" s="14"/>
      <c r="G240" s="58"/>
      <c r="H240" s="58"/>
      <c r="I240" s="60"/>
      <c r="J240" s="366"/>
      <c r="K240" s="29"/>
      <c r="L240" s="58"/>
      <c r="M240" s="90"/>
      <c r="N240" s="30"/>
      <c r="O240" s="87"/>
      <c r="P240" s="377"/>
      <c r="Q240" s="21"/>
      <c r="R240" s="382"/>
      <c r="S240" s="54"/>
      <c r="T240" s="47"/>
      <c r="U240" s="25"/>
      <c r="V240" s="175"/>
      <c r="W240" s="198"/>
      <c r="X240" s="26"/>
      <c r="Y240" s="27"/>
      <c r="Z240" s="28"/>
      <c r="AA240" s="396"/>
      <c r="AB240" s="261"/>
      <c r="AC240" s="200"/>
    </row>
    <row r="241" spans="1:29" s="20" customFormat="1" x14ac:dyDescent="0.3">
      <c r="A241" s="370">
        <v>45896</v>
      </c>
      <c r="B241" s="37"/>
      <c r="C241" s="14"/>
      <c r="D241" s="14"/>
      <c r="E241" s="14"/>
      <c r="F241" s="14"/>
      <c r="G241" s="58"/>
      <c r="H241" s="58"/>
      <c r="I241" s="60"/>
      <c r="J241" s="366"/>
      <c r="K241" s="29"/>
      <c r="L241" s="58"/>
      <c r="M241" s="90"/>
      <c r="N241" s="30"/>
      <c r="O241" s="87"/>
      <c r="P241" s="377"/>
      <c r="Q241" s="21"/>
      <c r="R241" s="382"/>
      <c r="S241" s="54"/>
      <c r="T241" s="47"/>
      <c r="U241" s="25"/>
      <c r="V241" s="175"/>
      <c r="W241" s="198"/>
      <c r="X241" s="26"/>
      <c r="Y241" s="27"/>
      <c r="Z241" s="28"/>
      <c r="AA241" s="396"/>
      <c r="AB241" s="261"/>
      <c r="AC241" s="200"/>
    </row>
    <row r="242" spans="1:29" s="20" customFormat="1" x14ac:dyDescent="0.3">
      <c r="A242" s="370">
        <v>45897</v>
      </c>
      <c r="B242" s="37"/>
      <c r="C242" s="14"/>
      <c r="D242" s="14"/>
      <c r="E242" s="14"/>
      <c r="F242" s="14"/>
      <c r="G242" s="58"/>
      <c r="H242" s="58"/>
      <c r="I242" s="60"/>
      <c r="J242" s="366"/>
      <c r="K242" s="29"/>
      <c r="L242" s="58"/>
      <c r="M242" s="90"/>
      <c r="N242" s="30"/>
      <c r="O242" s="87"/>
      <c r="P242" s="377"/>
      <c r="Q242" s="21"/>
      <c r="R242" s="382"/>
      <c r="S242" s="54"/>
      <c r="T242" s="47"/>
      <c r="U242" s="25"/>
      <c r="V242" s="175"/>
      <c r="W242" s="198"/>
      <c r="X242" s="26"/>
      <c r="Y242" s="27"/>
      <c r="Z242" s="28"/>
      <c r="AA242" s="396"/>
      <c r="AB242" s="261"/>
      <c r="AC242" s="200"/>
    </row>
    <row r="243" spans="1:29" s="20" customFormat="1" x14ac:dyDescent="0.3">
      <c r="A243" s="370">
        <v>45898</v>
      </c>
      <c r="B243" s="37"/>
      <c r="C243" s="14"/>
      <c r="D243" s="14"/>
      <c r="E243" s="14"/>
      <c r="F243" s="14"/>
      <c r="G243" s="58"/>
      <c r="H243" s="58"/>
      <c r="I243" s="60"/>
      <c r="J243" s="366"/>
      <c r="K243" s="29"/>
      <c r="L243" s="58"/>
      <c r="M243" s="90"/>
      <c r="N243" s="30"/>
      <c r="O243" s="87"/>
      <c r="P243" s="377"/>
      <c r="Q243" s="21"/>
      <c r="R243" s="382"/>
      <c r="S243" s="54"/>
      <c r="T243" s="47"/>
      <c r="U243" s="25"/>
      <c r="V243" s="175"/>
      <c r="W243" s="198"/>
      <c r="X243" s="26"/>
      <c r="Y243" s="27"/>
      <c r="Z243" s="28"/>
      <c r="AA243" s="396"/>
      <c r="AB243" s="261"/>
      <c r="AC243" s="200"/>
    </row>
    <row r="244" spans="1:29" s="20" customFormat="1" x14ac:dyDescent="0.3">
      <c r="A244" s="370">
        <v>45899</v>
      </c>
      <c r="B244" s="37"/>
      <c r="C244" s="14"/>
      <c r="D244" s="14"/>
      <c r="E244" s="14"/>
      <c r="F244" s="14"/>
      <c r="G244" s="58"/>
      <c r="H244" s="58"/>
      <c r="I244" s="60"/>
      <c r="J244" s="366"/>
      <c r="K244" s="29"/>
      <c r="L244" s="58"/>
      <c r="M244" s="90"/>
      <c r="N244" s="30"/>
      <c r="O244" s="87"/>
      <c r="P244" s="377"/>
      <c r="Q244" s="21"/>
      <c r="R244" s="382"/>
      <c r="S244" s="54"/>
      <c r="T244" s="47"/>
      <c r="U244" s="25"/>
      <c r="V244" s="175"/>
      <c r="W244" s="198"/>
      <c r="X244" s="26"/>
      <c r="Y244" s="27"/>
      <c r="Z244" s="28"/>
      <c r="AA244" s="396"/>
      <c r="AB244" s="261"/>
      <c r="AC244" s="200"/>
    </row>
    <row r="245" spans="1:29" s="312" customFormat="1" ht="15" thickBot="1" x14ac:dyDescent="0.35">
      <c r="A245" s="370">
        <v>45900</v>
      </c>
      <c r="B245" s="296"/>
      <c r="C245" s="297"/>
      <c r="D245" s="297"/>
      <c r="E245" s="297"/>
      <c r="F245" s="297"/>
      <c r="G245" s="298"/>
      <c r="H245" s="297"/>
      <c r="I245" s="299"/>
      <c r="J245" s="368"/>
      <c r="K245" s="297"/>
      <c r="L245" s="298"/>
      <c r="M245" s="300"/>
      <c r="N245" s="301"/>
      <c r="O245" s="302"/>
      <c r="P245" s="379"/>
      <c r="Q245" s="303"/>
      <c r="R245" s="385"/>
      <c r="S245" s="304"/>
      <c r="T245" s="305"/>
      <c r="U245" s="306"/>
      <c r="V245" s="307"/>
      <c r="W245" s="391"/>
      <c r="X245" s="40"/>
      <c r="Y245" s="41"/>
      <c r="Z245" s="42"/>
      <c r="AA245" s="399"/>
      <c r="AB245" s="311"/>
      <c r="AC245" s="357"/>
    </row>
    <row r="246" spans="1:29" s="326" customFormat="1" x14ac:dyDescent="0.3">
      <c r="A246" s="370">
        <v>45901</v>
      </c>
      <c r="B246" s="313"/>
      <c r="C246" s="314"/>
      <c r="D246" s="314"/>
      <c r="E246" s="314"/>
      <c r="F246" s="314"/>
      <c r="G246" s="315"/>
      <c r="H246" s="315"/>
      <c r="I246" s="316"/>
      <c r="J246" s="336"/>
      <c r="K246" s="314"/>
      <c r="L246" s="315"/>
      <c r="M246" s="317"/>
      <c r="N246" s="318"/>
      <c r="O246" s="319"/>
      <c r="P246" s="380"/>
      <c r="Q246" s="320"/>
      <c r="R246" s="386"/>
      <c r="S246" s="290"/>
      <c r="T246" s="321"/>
      <c r="U246" s="291"/>
      <c r="V246" s="292"/>
      <c r="W246" s="335"/>
      <c r="X246" s="84"/>
      <c r="Y246" s="85"/>
      <c r="Z246" s="86"/>
      <c r="AA246" s="393"/>
      <c r="AB246" s="325"/>
      <c r="AC246" s="402"/>
    </row>
    <row r="247" spans="1:29" s="20" customFormat="1" x14ac:dyDescent="0.3">
      <c r="A247" s="370">
        <v>45902</v>
      </c>
      <c r="B247" s="37"/>
      <c r="C247" s="14"/>
      <c r="D247" s="14"/>
      <c r="E247" s="14"/>
      <c r="F247" s="14"/>
      <c r="G247" s="58"/>
      <c r="H247" s="58"/>
      <c r="I247" s="60"/>
      <c r="J247" s="366"/>
      <c r="K247" s="29"/>
      <c r="L247" s="58"/>
      <c r="M247" s="90"/>
      <c r="N247" s="30"/>
      <c r="O247" s="87"/>
      <c r="P247" s="377"/>
      <c r="Q247" s="21"/>
      <c r="R247" s="382"/>
      <c r="S247" s="54"/>
      <c r="T247" s="47"/>
      <c r="U247" s="25"/>
      <c r="V247" s="175"/>
      <c r="W247" s="196"/>
      <c r="X247" s="16"/>
      <c r="Y247" s="17"/>
      <c r="Z247" s="18"/>
      <c r="AA247" s="394"/>
      <c r="AB247" s="260"/>
      <c r="AC247" s="200"/>
    </row>
    <row r="248" spans="1:29" s="20" customFormat="1" x14ac:dyDescent="0.3">
      <c r="A248" s="370">
        <v>45903</v>
      </c>
      <c r="B248" s="37"/>
      <c r="C248" s="14"/>
      <c r="D248" s="14"/>
      <c r="E248" s="14"/>
      <c r="F248" s="14"/>
      <c r="G248" s="58"/>
      <c r="H248" s="58"/>
      <c r="I248" s="60"/>
      <c r="J248" s="366"/>
      <c r="K248" s="29"/>
      <c r="L248" s="58"/>
      <c r="M248" s="90"/>
      <c r="N248" s="30"/>
      <c r="O248" s="87"/>
      <c r="P248" s="377"/>
      <c r="Q248" s="21"/>
      <c r="R248" s="382"/>
      <c r="S248" s="54"/>
      <c r="T248" s="47"/>
      <c r="U248" s="25"/>
      <c r="V248" s="175"/>
      <c r="W248" s="196"/>
      <c r="X248" s="16"/>
      <c r="Y248" s="17"/>
      <c r="Z248" s="18"/>
      <c r="AA248" s="394"/>
      <c r="AB248" s="260"/>
      <c r="AC248" s="200"/>
    </row>
    <row r="249" spans="1:29" s="20" customFormat="1" x14ac:dyDescent="0.3">
      <c r="A249" s="370">
        <v>45904</v>
      </c>
      <c r="B249" s="37"/>
      <c r="C249" s="14"/>
      <c r="D249" s="14"/>
      <c r="E249" s="14"/>
      <c r="F249" s="14"/>
      <c r="G249" s="58"/>
      <c r="H249" s="58"/>
      <c r="I249" s="60"/>
      <c r="J249" s="366"/>
      <c r="K249" s="29"/>
      <c r="L249" s="58"/>
      <c r="M249" s="90"/>
      <c r="N249" s="30"/>
      <c r="O249" s="87"/>
      <c r="P249" s="377"/>
      <c r="Q249" s="21"/>
      <c r="R249" s="382"/>
      <c r="S249" s="55"/>
      <c r="T249" s="48"/>
      <c r="U249" s="19"/>
      <c r="V249" s="175"/>
      <c r="W249" s="197"/>
      <c r="X249" s="16"/>
      <c r="Y249" s="17"/>
      <c r="Z249" s="18"/>
      <c r="AA249" s="394"/>
      <c r="AB249" s="260"/>
      <c r="AC249" s="200"/>
    </row>
    <row r="250" spans="1:29" s="20" customFormat="1" x14ac:dyDescent="0.3">
      <c r="A250" s="370">
        <v>45905</v>
      </c>
      <c r="B250" s="37"/>
      <c r="C250" s="14"/>
      <c r="D250" s="14"/>
      <c r="E250" s="14"/>
      <c r="F250" s="14"/>
      <c r="G250" s="50"/>
      <c r="H250" s="50"/>
      <c r="I250" s="60"/>
      <c r="J250" s="366"/>
      <c r="K250" s="29"/>
      <c r="L250" s="58"/>
      <c r="M250" s="90"/>
      <c r="N250" s="30"/>
      <c r="O250" s="87"/>
      <c r="P250" s="377"/>
      <c r="Q250" s="21"/>
      <c r="R250" s="382"/>
      <c r="S250" s="54"/>
      <c r="T250" s="47"/>
      <c r="U250" s="25"/>
      <c r="V250" s="175"/>
      <c r="W250" s="197"/>
      <c r="X250" s="16"/>
      <c r="Y250" s="17"/>
      <c r="Z250" s="18"/>
      <c r="AA250" s="394"/>
      <c r="AB250" s="260"/>
      <c r="AC250" s="200"/>
    </row>
    <row r="251" spans="1:29" s="20" customFormat="1" x14ac:dyDescent="0.3">
      <c r="A251" s="370">
        <v>45906</v>
      </c>
      <c r="B251" s="37"/>
      <c r="C251" s="14"/>
      <c r="D251" s="14"/>
      <c r="E251" s="14"/>
      <c r="F251" s="14"/>
      <c r="G251" s="50"/>
      <c r="H251" s="50"/>
      <c r="I251" s="60"/>
      <c r="J251" s="366"/>
      <c r="K251" s="29"/>
      <c r="L251" s="58"/>
      <c r="M251" s="90"/>
      <c r="N251" s="30"/>
      <c r="O251" s="87"/>
      <c r="P251" s="377"/>
      <c r="Q251" s="21"/>
      <c r="R251" s="382"/>
      <c r="S251" s="54"/>
      <c r="T251" s="47"/>
      <c r="U251" s="25"/>
      <c r="V251" s="175"/>
      <c r="W251" s="197"/>
      <c r="X251" s="16"/>
      <c r="Y251" s="17"/>
      <c r="Z251" s="18"/>
      <c r="AA251" s="394"/>
      <c r="AB251" s="260"/>
      <c r="AC251" s="200"/>
    </row>
    <row r="252" spans="1:29" s="20" customFormat="1" x14ac:dyDescent="0.3">
      <c r="A252" s="370">
        <v>45907</v>
      </c>
      <c r="B252" s="37"/>
      <c r="C252" s="14"/>
      <c r="D252" s="14"/>
      <c r="E252" s="14"/>
      <c r="F252" s="14"/>
      <c r="G252" s="50"/>
      <c r="H252" s="50"/>
      <c r="I252" s="60"/>
      <c r="J252" s="366"/>
      <c r="K252" s="29"/>
      <c r="L252" s="58"/>
      <c r="M252" s="90"/>
      <c r="N252" s="30"/>
      <c r="O252" s="87"/>
      <c r="P252" s="377"/>
      <c r="Q252" s="21"/>
      <c r="R252" s="382"/>
      <c r="S252" s="54"/>
      <c r="T252" s="47"/>
      <c r="U252" s="25"/>
      <c r="V252" s="175"/>
      <c r="W252" s="197"/>
      <c r="X252" s="16"/>
      <c r="Y252" s="17"/>
      <c r="Z252" s="18"/>
      <c r="AA252" s="394"/>
      <c r="AB252" s="260"/>
      <c r="AC252" s="200"/>
    </row>
    <row r="253" spans="1:29" s="20" customFormat="1" x14ac:dyDescent="0.3">
      <c r="A253" s="370">
        <v>45908</v>
      </c>
      <c r="B253" s="37"/>
      <c r="C253" s="14"/>
      <c r="D253" s="14"/>
      <c r="E253" s="14"/>
      <c r="F253" s="14"/>
      <c r="G253" s="50"/>
      <c r="H253" s="50"/>
      <c r="I253" s="60"/>
      <c r="J253" s="366"/>
      <c r="K253" s="29"/>
      <c r="L253" s="58"/>
      <c r="M253" s="90"/>
      <c r="N253" s="30"/>
      <c r="O253" s="87"/>
      <c r="P253" s="377"/>
      <c r="Q253" s="21"/>
      <c r="R253" s="382"/>
      <c r="S253" s="54"/>
      <c r="T253" s="47"/>
      <c r="U253" s="25"/>
      <c r="V253" s="175"/>
      <c r="W253" s="197"/>
      <c r="X253" s="16"/>
      <c r="Y253" s="17"/>
      <c r="Z253" s="18"/>
      <c r="AA253" s="394"/>
      <c r="AB253" s="260"/>
      <c r="AC253" s="200"/>
    </row>
    <row r="254" spans="1:29" s="20" customFormat="1" x14ac:dyDescent="0.3">
      <c r="A254" s="370">
        <v>45909</v>
      </c>
      <c r="B254" s="37"/>
      <c r="C254" s="14"/>
      <c r="D254" s="14"/>
      <c r="E254" s="14"/>
      <c r="F254" s="14"/>
      <c r="G254" s="50"/>
      <c r="H254" s="50"/>
      <c r="I254" s="60"/>
      <c r="J254" s="366"/>
      <c r="K254" s="29"/>
      <c r="L254" s="58"/>
      <c r="M254" s="90"/>
      <c r="N254" s="30"/>
      <c r="O254" s="87"/>
      <c r="P254" s="377"/>
      <c r="Q254" s="21"/>
      <c r="R254" s="382"/>
      <c r="S254" s="54"/>
      <c r="T254" s="47"/>
      <c r="U254" s="25"/>
      <c r="V254" s="175"/>
      <c r="W254" s="197"/>
      <c r="X254" s="16"/>
      <c r="Y254" s="17"/>
      <c r="Z254" s="18"/>
      <c r="AA254" s="394"/>
      <c r="AB254" s="260"/>
      <c r="AC254" s="200"/>
    </row>
    <row r="255" spans="1:29" s="20" customFormat="1" x14ac:dyDescent="0.3">
      <c r="A255" s="370">
        <v>45910</v>
      </c>
      <c r="B255" s="37"/>
      <c r="C255" s="14"/>
      <c r="D255" s="14"/>
      <c r="E255" s="14"/>
      <c r="F255" s="14"/>
      <c r="G255" s="50"/>
      <c r="H255" s="50"/>
      <c r="I255" s="60"/>
      <c r="J255" s="366"/>
      <c r="K255" s="29"/>
      <c r="L255" s="58"/>
      <c r="M255" s="90"/>
      <c r="N255" s="30"/>
      <c r="O255" s="87"/>
      <c r="P255" s="377"/>
      <c r="Q255" s="21"/>
      <c r="R255" s="382"/>
      <c r="S255" s="54"/>
      <c r="T255" s="47"/>
      <c r="U255" s="25"/>
      <c r="V255" s="175"/>
      <c r="W255" s="197"/>
      <c r="X255" s="16"/>
      <c r="Y255" s="17"/>
      <c r="Z255" s="18"/>
      <c r="AA255" s="394"/>
      <c r="AB255" s="260"/>
      <c r="AC255" s="200"/>
    </row>
    <row r="256" spans="1:29" s="20" customFormat="1" x14ac:dyDescent="0.3">
      <c r="A256" s="370">
        <v>45911</v>
      </c>
      <c r="B256" s="37"/>
      <c r="C256" s="14"/>
      <c r="D256" s="14"/>
      <c r="E256" s="14"/>
      <c r="F256" s="14"/>
      <c r="G256" s="50"/>
      <c r="H256" s="50"/>
      <c r="I256" s="60"/>
      <c r="J256" s="366"/>
      <c r="K256" s="29"/>
      <c r="L256" s="58"/>
      <c r="M256" s="90"/>
      <c r="N256" s="30"/>
      <c r="O256" s="87"/>
      <c r="P256" s="377"/>
      <c r="Q256" s="21"/>
      <c r="R256" s="382"/>
      <c r="S256" s="54"/>
      <c r="T256" s="47"/>
      <c r="U256" s="25"/>
      <c r="V256" s="175"/>
      <c r="W256" s="197"/>
      <c r="X256" s="16"/>
      <c r="Y256" s="17"/>
      <c r="Z256" s="18"/>
      <c r="AA256" s="394"/>
      <c r="AB256" s="260"/>
      <c r="AC256" s="200"/>
    </row>
    <row r="257" spans="1:29" s="20" customFormat="1" x14ac:dyDescent="0.3">
      <c r="A257" s="370">
        <v>45912</v>
      </c>
      <c r="B257" s="37"/>
      <c r="C257" s="14"/>
      <c r="D257" s="14"/>
      <c r="E257" s="14"/>
      <c r="F257" s="14"/>
      <c r="G257" s="50"/>
      <c r="H257" s="50"/>
      <c r="I257" s="60"/>
      <c r="J257" s="366"/>
      <c r="K257" s="29"/>
      <c r="L257" s="58"/>
      <c r="M257" s="90"/>
      <c r="N257" s="30"/>
      <c r="O257" s="87"/>
      <c r="P257" s="377"/>
      <c r="Q257" s="21"/>
      <c r="R257" s="382"/>
      <c r="S257" s="54"/>
      <c r="T257" s="47"/>
      <c r="U257" s="25"/>
      <c r="V257" s="175"/>
      <c r="W257" s="197"/>
      <c r="X257" s="16"/>
      <c r="Y257" s="17"/>
      <c r="Z257" s="18"/>
      <c r="AA257" s="394"/>
      <c r="AB257" s="260"/>
      <c r="AC257" s="200"/>
    </row>
    <row r="258" spans="1:29" s="20" customFormat="1" x14ac:dyDescent="0.3">
      <c r="A258" s="370">
        <v>45913</v>
      </c>
      <c r="B258" s="37"/>
      <c r="C258" s="14"/>
      <c r="D258" s="14"/>
      <c r="E258" s="14"/>
      <c r="F258" s="14"/>
      <c r="G258" s="50"/>
      <c r="H258" s="50"/>
      <c r="I258" s="60"/>
      <c r="J258" s="366"/>
      <c r="K258" s="29"/>
      <c r="L258" s="58"/>
      <c r="M258" s="90"/>
      <c r="N258" s="30"/>
      <c r="O258" s="87"/>
      <c r="P258" s="377"/>
      <c r="Q258" s="21"/>
      <c r="R258" s="382"/>
      <c r="S258" s="54"/>
      <c r="T258" s="47"/>
      <c r="U258" s="25"/>
      <c r="V258" s="175"/>
      <c r="W258" s="198"/>
      <c r="X258" s="26"/>
      <c r="Y258" s="27"/>
      <c r="Z258" s="28"/>
      <c r="AA258" s="396"/>
      <c r="AB258" s="261"/>
      <c r="AC258" s="200"/>
    </row>
    <row r="259" spans="1:29" s="20" customFormat="1" x14ac:dyDescent="0.3">
      <c r="A259" s="370">
        <v>45914</v>
      </c>
      <c r="B259" s="37"/>
      <c r="C259" s="14"/>
      <c r="D259" s="14"/>
      <c r="E259" s="14"/>
      <c r="F259" s="14"/>
      <c r="G259" s="50"/>
      <c r="H259" s="50"/>
      <c r="I259" s="60"/>
      <c r="J259" s="366"/>
      <c r="K259" s="29"/>
      <c r="L259" s="58"/>
      <c r="M259" s="90"/>
      <c r="N259" s="30"/>
      <c r="O259" s="87"/>
      <c r="P259" s="377"/>
      <c r="Q259" s="21"/>
      <c r="R259" s="382"/>
      <c r="S259" s="54"/>
      <c r="T259" s="47"/>
      <c r="U259" s="25"/>
      <c r="V259" s="175"/>
      <c r="W259" s="198"/>
      <c r="X259" s="26"/>
      <c r="Y259" s="27"/>
      <c r="Z259" s="28"/>
      <c r="AA259" s="396"/>
      <c r="AB259" s="261"/>
      <c r="AC259" s="200"/>
    </row>
    <row r="260" spans="1:29" s="20" customFormat="1" x14ac:dyDescent="0.3">
      <c r="A260" s="370">
        <v>45915</v>
      </c>
      <c r="B260" s="37"/>
      <c r="C260" s="14"/>
      <c r="D260" s="14"/>
      <c r="E260" s="14"/>
      <c r="F260" s="14"/>
      <c r="G260" s="50"/>
      <c r="H260" s="50"/>
      <c r="I260" s="60"/>
      <c r="J260" s="366"/>
      <c r="K260" s="29"/>
      <c r="L260" s="58"/>
      <c r="M260" s="90"/>
      <c r="N260" s="30"/>
      <c r="O260" s="87"/>
      <c r="P260" s="377"/>
      <c r="Q260" s="21"/>
      <c r="R260" s="382"/>
      <c r="S260" s="54"/>
      <c r="T260" s="47"/>
      <c r="U260" s="25"/>
      <c r="V260" s="175"/>
      <c r="W260" s="198"/>
      <c r="X260" s="26"/>
      <c r="Y260" s="27"/>
      <c r="Z260" s="28"/>
      <c r="AA260" s="396"/>
      <c r="AB260" s="261"/>
      <c r="AC260" s="200"/>
    </row>
    <row r="261" spans="1:29" s="20" customFormat="1" x14ac:dyDescent="0.3">
      <c r="A261" s="370">
        <v>45916</v>
      </c>
      <c r="B261" s="37"/>
      <c r="C261" s="14"/>
      <c r="D261" s="14"/>
      <c r="E261" s="14"/>
      <c r="F261" s="14"/>
      <c r="G261" s="50"/>
      <c r="H261" s="50"/>
      <c r="I261" s="60"/>
      <c r="J261" s="366"/>
      <c r="K261" s="29"/>
      <c r="L261" s="58"/>
      <c r="M261" s="90"/>
      <c r="N261" s="30"/>
      <c r="O261" s="87"/>
      <c r="P261" s="377"/>
      <c r="Q261" s="21"/>
      <c r="R261" s="382"/>
      <c r="S261" s="54"/>
      <c r="T261" s="47"/>
      <c r="U261" s="25"/>
      <c r="V261" s="175"/>
      <c r="W261" s="198"/>
      <c r="X261" s="26"/>
      <c r="Y261" s="27"/>
      <c r="Z261" s="28"/>
      <c r="AA261" s="396"/>
      <c r="AB261" s="261"/>
      <c r="AC261" s="200"/>
    </row>
    <row r="262" spans="1:29" s="20" customFormat="1" x14ac:dyDescent="0.3">
      <c r="A262" s="370">
        <v>45917</v>
      </c>
      <c r="B262" s="37"/>
      <c r="C262" s="14"/>
      <c r="D262" s="14"/>
      <c r="E262" s="14"/>
      <c r="F262" s="14"/>
      <c r="G262" s="50"/>
      <c r="H262" s="50"/>
      <c r="I262" s="60"/>
      <c r="J262" s="366"/>
      <c r="K262" s="29"/>
      <c r="L262" s="58"/>
      <c r="M262" s="90"/>
      <c r="N262" s="30"/>
      <c r="O262" s="87"/>
      <c r="P262" s="377"/>
      <c r="Q262" s="21"/>
      <c r="R262" s="382"/>
      <c r="S262" s="54"/>
      <c r="T262" s="47"/>
      <c r="U262" s="25"/>
      <c r="V262" s="175"/>
      <c r="W262" s="198"/>
      <c r="X262" s="26"/>
      <c r="Y262" s="27"/>
      <c r="Z262" s="28"/>
      <c r="AA262" s="396"/>
      <c r="AB262" s="261"/>
      <c r="AC262" s="200"/>
    </row>
    <row r="263" spans="1:29" s="20" customFormat="1" x14ac:dyDescent="0.3">
      <c r="A263" s="370">
        <v>45918</v>
      </c>
      <c r="B263" s="37"/>
      <c r="C263" s="14"/>
      <c r="D263" s="14"/>
      <c r="E263" s="14"/>
      <c r="F263" s="14"/>
      <c r="G263" s="50"/>
      <c r="H263" s="50"/>
      <c r="I263" s="60"/>
      <c r="J263" s="366"/>
      <c r="K263" s="29"/>
      <c r="L263" s="58"/>
      <c r="M263" s="90"/>
      <c r="N263" s="30"/>
      <c r="O263" s="87"/>
      <c r="P263" s="377"/>
      <c r="Q263" s="21"/>
      <c r="R263" s="382"/>
      <c r="S263" s="54"/>
      <c r="T263" s="47"/>
      <c r="U263" s="25"/>
      <c r="V263" s="175"/>
      <c r="W263" s="198"/>
      <c r="X263" s="26"/>
      <c r="Y263" s="27"/>
      <c r="Z263" s="28"/>
      <c r="AA263" s="396"/>
      <c r="AB263" s="261"/>
      <c r="AC263" s="200"/>
    </row>
    <row r="264" spans="1:29" s="20" customFormat="1" x14ac:dyDescent="0.3">
      <c r="A264" s="370">
        <v>45919</v>
      </c>
      <c r="B264" s="37"/>
      <c r="C264" s="14"/>
      <c r="D264" s="14"/>
      <c r="E264" s="14"/>
      <c r="F264" s="14"/>
      <c r="G264" s="50"/>
      <c r="H264" s="50"/>
      <c r="I264" s="60"/>
      <c r="J264" s="366"/>
      <c r="K264" s="29"/>
      <c r="L264" s="58"/>
      <c r="M264" s="90"/>
      <c r="N264" s="30"/>
      <c r="O264" s="87"/>
      <c r="P264" s="377"/>
      <c r="Q264" s="21"/>
      <c r="R264" s="382"/>
      <c r="S264" s="54"/>
      <c r="T264" s="47"/>
      <c r="U264" s="25"/>
      <c r="V264" s="175"/>
      <c r="W264" s="198"/>
      <c r="X264" s="26"/>
      <c r="Y264" s="27"/>
      <c r="Z264" s="28"/>
      <c r="AA264" s="396"/>
      <c r="AB264" s="261"/>
      <c r="AC264" s="200"/>
    </row>
    <row r="265" spans="1:29" s="20" customFormat="1" x14ac:dyDescent="0.3">
      <c r="A265" s="370">
        <v>45920</v>
      </c>
      <c r="B265" s="37"/>
      <c r="C265" s="14"/>
      <c r="D265" s="14"/>
      <c r="E265" s="14"/>
      <c r="F265" s="14"/>
      <c r="G265" s="50"/>
      <c r="H265" s="50"/>
      <c r="I265" s="60"/>
      <c r="J265" s="366"/>
      <c r="K265" s="29"/>
      <c r="L265" s="58"/>
      <c r="M265" s="90"/>
      <c r="N265" s="30"/>
      <c r="O265" s="87"/>
      <c r="P265" s="377"/>
      <c r="Q265" s="21"/>
      <c r="R265" s="382"/>
      <c r="S265" s="54"/>
      <c r="T265" s="47"/>
      <c r="U265" s="25"/>
      <c r="V265" s="175"/>
      <c r="W265" s="198"/>
      <c r="X265" s="26"/>
      <c r="Y265" s="27"/>
      <c r="Z265" s="28"/>
      <c r="AA265" s="396"/>
      <c r="AB265" s="261"/>
      <c r="AC265" s="200"/>
    </row>
    <row r="266" spans="1:29" s="20" customFormat="1" x14ac:dyDescent="0.3">
      <c r="A266" s="370">
        <v>45921</v>
      </c>
      <c r="B266" s="37"/>
      <c r="C266" s="14"/>
      <c r="D266" s="14"/>
      <c r="E266" s="14"/>
      <c r="F266" s="14"/>
      <c r="G266" s="50"/>
      <c r="H266" s="50"/>
      <c r="I266" s="60"/>
      <c r="J266" s="366"/>
      <c r="K266" s="29"/>
      <c r="L266" s="58"/>
      <c r="M266" s="90"/>
      <c r="N266" s="30"/>
      <c r="O266" s="87"/>
      <c r="P266" s="377"/>
      <c r="Q266" s="21"/>
      <c r="R266" s="382"/>
      <c r="S266" s="54"/>
      <c r="T266" s="47"/>
      <c r="U266" s="25"/>
      <c r="V266" s="175"/>
      <c r="W266" s="198"/>
      <c r="X266" s="26"/>
      <c r="Y266" s="27"/>
      <c r="Z266" s="28"/>
      <c r="AA266" s="396"/>
      <c r="AB266" s="261"/>
      <c r="AC266" s="200"/>
    </row>
    <row r="267" spans="1:29" s="20" customFormat="1" x14ac:dyDescent="0.3">
      <c r="A267" s="370">
        <v>45922</v>
      </c>
      <c r="B267" s="37"/>
      <c r="C267" s="14"/>
      <c r="D267" s="14"/>
      <c r="E267" s="14"/>
      <c r="F267" s="14"/>
      <c r="G267" s="50"/>
      <c r="H267" s="50"/>
      <c r="I267" s="60"/>
      <c r="J267" s="366"/>
      <c r="K267" s="29"/>
      <c r="L267" s="58"/>
      <c r="M267" s="90"/>
      <c r="N267" s="30"/>
      <c r="O267" s="87"/>
      <c r="P267" s="377"/>
      <c r="Q267" s="21"/>
      <c r="R267" s="382"/>
      <c r="S267" s="54"/>
      <c r="T267" s="47"/>
      <c r="U267" s="25"/>
      <c r="V267" s="175"/>
      <c r="W267" s="198"/>
      <c r="X267" s="26"/>
      <c r="Y267" s="27"/>
      <c r="Z267" s="28"/>
      <c r="AA267" s="396"/>
      <c r="AB267" s="261"/>
      <c r="AC267" s="200"/>
    </row>
    <row r="268" spans="1:29" s="20" customFormat="1" x14ac:dyDescent="0.3">
      <c r="A268" s="370">
        <v>45923</v>
      </c>
      <c r="B268" s="37"/>
      <c r="C268" s="14"/>
      <c r="D268" s="14"/>
      <c r="E268" s="14"/>
      <c r="F268" s="14"/>
      <c r="G268" s="50"/>
      <c r="H268" s="50"/>
      <c r="I268" s="60"/>
      <c r="J268" s="366"/>
      <c r="K268" s="29"/>
      <c r="L268" s="58"/>
      <c r="M268" s="90"/>
      <c r="N268" s="30"/>
      <c r="O268" s="87"/>
      <c r="P268" s="377"/>
      <c r="Q268" s="21"/>
      <c r="R268" s="382"/>
      <c r="S268" s="54"/>
      <c r="T268" s="47"/>
      <c r="U268" s="25"/>
      <c r="V268" s="175"/>
      <c r="W268" s="198"/>
      <c r="X268" s="26"/>
      <c r="Y268" s="27"/>
      <c r="Z268" s="28"/>
      <c r="AA268" s="396"/>
      <c r="AB268" s="261"/>
      <c r="AC268" s="200"/>
    </row>
    <row r="269" spans="1:29" s="20" customFormat="1" x14ac:dyDescent="0.3">
      <c r="A269" s="370">
        <v>45924</v>
      </c>
      <c r="B269" s="37"/>
      <c r="C269" s="14"/>
      <c r="D269" s="14"/>
      <c r="E269" s="14"/>
      <c r="F269" s="14"/>
      <c r="G269" s="50"/>
      <c r="H269" s="50"/>
      <c r="I269" s="60"/>
      <c r="J269" s="366"/>
      <c r="K269" s="29"/>
      <c r="L269" s="58"/>
      <c r="M269" s="90"/>
      <c r="N269" s="30"/>
      <c r="O269" s="87"/>
      <c r="P269" s="377"/>
      <c r="Q269" s="21"/>
      <c r="R269" s="382"/>
      <c r="S269" s="54"/>
      <c r="T269" s="47"/>
      <c r="U269" s="25"/>
      <c r="V269" s="175"/>
      <c r="W269" s="198"/>
      <c r="X269" s="26"/>
      <c r="Y269" s="27"/>
      <c r="Z269" s="28"/>
      <c r="AA269" s="396"/>
      <c r="AB269" s="261"/>
      <c r="AC269" s="200"/>
    </row>
    <row r="270" spans="1:29" s="20" customFormat="1" x14ac:dyDescent="0.3">
      <c r="A270" s="370">
        <v>45925</v>
      </c>
      <c r="B270" s="37"/>
      <c r="C270" s="14"/>
      <c r="D270" s="14"/>
      <c r="E270" s="14"/>
      <c r="F270" s="14"/>
      <c r="G270" s="50"/>
      <c r="H270" s="50"/>
      <c r="I270" s="60"/>
      <c r="J270" s="366"/>
      <c r="K270" s="29"/>
      <c r="L270" s="58"/>
      <c r="M270" s="90"/>
      <c r="N270" s="30"/>
      <c r="O270" s="87"/>
      <c r="P270" s="377"/>
      <c r="Q270" s="21"/>
      <c r="R270" s="382"/>
      <c r="S270" s="54"/>
      <c r="T270" s="47"/>
      <c r="U270" s="25"/>
      <c r="V270" s="175"/>
      <c r="W270" s="198"/>
      <c r="X270" s="26"/>
      <c r="Y270" s="27"/>
      <c r="Z270" s="28"/>
      <c r="AA270" s="396"/>
      <c r="AB270" s="261"/>
      <c r="AC270" s="200"/>
    </row>
    <row r="271" spans="1:29" s="20" customFormat="1" x14ac:dyDescent="0.3">
      <c r="A271" s="370">
        <v>45926</v>
      </c>
      <c r="B271" s="37"/>
      <c r="C271" s="14"/>
      <c r="D271" s="14"/>
      <c r="E271" s="14"/>
      <c r="F271" s="14"/>
      <c r="G271" s="50"/>
      <c r="H271" s="50"/>
      <c r="I271" s="60"/>
      <c r="J271" s="366"/>
      <c r="K271" s="29"/>
      <c r="L271" s="58"/>
      <c r="M271" s="90"/>
      <c r="N271" s="30"/>
      <c r="O271" s="87"/>
      <c r="P271" s="377"/>
      <c r="Q271" s="21"/>
      <c r="R271" s="382"/>
      <c r="S271" s="54"/>
      <c r="T271" s="47"/>
      <c r="U271" s="25"/>
      <c r="V271" s="175"/>
      <c r="W271" s="198"/>
      <c r="X271" s="26"/>
      <c r="Y271" s="27"/>
      <c r="Z271" s="28"/>
      <c r="AA271" s="396"/>
      <c r="AB271" s="261"/>
      <c r="AC271" s="200"/>
    </row>
    <row r="272" spans="1:29" s="20" customFormat="1" x14ac:dyDescent="0.3">
      <c r="A272" s="370">
        <v>45927</v>
      </c>
      <c r="B272" s="37"/>
      <c r="C272" s="14"/>
      <c r="D272" s="14"/>
      <c r="E272" s="14"/>
      <c r="F272" s="14"/>
      <c r="G272" s="50"/>
      <c r="H272" s="50"/>
      <c r="I272" s="60"/>
      <c r="J272" s="366"/>
      <c r="K272" s="29"/>
      <c r="L272" s="58"/>
      <c r="M272" s="90"/>
      <c r="N272" s="30"/>
      <c r="O272" s="87"/>
      <c r="P272" s="377"/>
      <c r="Q272" s="21"/>
      <c r="R272" s="382"/>
      <c r="S272" s="54"/>
      <c r="T272" s="47"/>
      <c r="U272" s="25"/>
      <c r="V272" s="175"/>
      <c r="W272" s="198"/>
      <c r="X272" s="26"/>
      <c r="Y272" s="27"/>
      <c r="Z272" s="28"/>
      <c r="AA272" s="396"/>
      <c r="AB272" s="261"/>
      <c r="AC272" s="200"/>
    </row>
    <row r="273" spans="1:29" s="20" customFormat="1" x14ac:dyDescent="0.3">
      <c r="A273" s="370">
        <v>45928</v>
      </c>
      <c r="B273" s="37"/>
      <c r="C273" s="14"/>
      <c r="D273" s="14"/>
      <c r="E273" s="14"/>
      <c r="F273" s="14"/>
      <c r="G273" s="50"/>
      <c r="H273" s="50"/>
      <c r="I273" s="60"/>
      <c r="J273" s="366"/>
      <c r="K273" s="29"/>
      <c r="L273" s="58"/>
      <c r="M273" s="90"/>
      <c r="N273" s="30"/>
      <c r="O273" s="87"/>
      <c r="P273" s="377"/>
      <c r="Q273" s="21"/>
      <c r="R273" s="382"/>
      <c r="S273" s="54"/>
      <c r="T273" s="47"/>
      <c r="U273" s="25"/>
      <c r="V273" s="175"/>
      <c r="W273" s="198"/>
      <c r="X273" s="26"/>
      <c r="Y273" s="27"/>
      <c r="Z273" s="28"/>
      <c r="AA273" s="396"/>
      <c r="AB273" s="261"/>
      <c r="AC273" s="200"/>
    </row>
    <row r="274" spans="1:29" s="20" customFormat="1" x14ac:dyDescent="0.3">
      <c r="A274" s="370">
        <v>45929</v>
      </c>
      <c r="B274" s="37"/>
      <c r="C274" s="14"/>
      <c r="D274" s="14"/>
      <c r="E274" s="14"/>
      <c r="F274" s="14"/>
      <c r="G274" s="50"/>
      <c r="H274" s="50"/>
      <c r="I274" s="60"/>
      <c r="J274" s="366"/>
      <c r="K274" s="29"/>
      <c r="L274" s="58"/>
      <c r="M274" s="90"/>
      <c r="N274" s="30"/>
      <c r="O274" s="87"/>
      <c r="P274" s="377"/>
      <c r="Q274" s="21"/>
      <c r="R274" s="382"/>
      <c r="S274" s="54"/>
      <c r="T274" s="47"/>
      <c r="U274" s="25"/>
      <c r="V274" s="175"/>
      <c r="W274" s="198"/>
      <c r="X274" s="26"/>
      <c r="Y274" s="27"/>
      <c r="Z274" s="28"/>
      <c r="AA274" s="396"/>
      <c r="AB274" s="261"/>
      <c r="AC274" s="200"/>
    </row>
    <row r="275" spans="1:29" s="257" customFormat="1" ht="15" thickBot="1" x14ac:dyDescent="0.35">
      <c r="A275" s="370">
        <v>45930</v>
      </c>
      <c r="B275" s="38"/>
      <c r="C275" s="22"/>
      <c r="D275" s="22"/>
      <c r="E275" s="22"/>
      <c r="F275" s="22"/>
      <c r="G275" s="256"/>
      <c r="H275" s="256"/>
      <c r="I275" s="61"/>
      <c r="J275" s="166"/>
      <c r="K275" s="22"/>
      <c r="L275" s="256"/>
      <c r="M275" s="67"/>
      <c r="N275" s="52"/>
      <c r="O275" s="63"/>
      <c r="P275" s="381"/>
      <c r="Q275" s="53"/>
      <c r="R275" s="388"/>
      <c r="S275" s="56"/>
      <c r="T275" s="49"/>
      <c r="U275" s="39"/>
      <c r="V275" s="176"/>
      <c r="W275" s="199"/>
      <c r="X275" s="26"/>
      <c r="Y275" s="27"/>
      <c r="Z275" s="28"/>
      <c r="AA275" s="396"/>
      <c r="AB275" s="262"/>
      <c r="AC275" s="404"/>
    </row>
    <row r="276" spans="1:29" s="33" customFormat="1" x14ac:dyDescent="0.3">
      <c r="A276" s="370">
        <v>45931</v>
      </c>
      <c r="B276" s="57"/>
      <c r="C276" s="29"/>
      <c r="D276" s="29"/>
      <c r="E276" s="29"/>
      <c r="F276" s="29"/>
      <c r="G276" s="58"/>
      <c r="H276" s="58"/>
      <c r="I276" s="65"/>
      <c r="J276" s="366"/>
      <c r="K276" s="29"/>
      <c r="L276" s="58"/>
      <c r="M276" s="90"/>
      <c r="N276" s="30"/>
      <c r="O276" s="87"/>
      <c r="P276" s="376"/>
      <c r="Q276" s="31"/>
      <c r="R276" s="382"/>
      <c r="S276" s="89"/>
      <c r="T276" s="88"/>
      <c r="U276" s="32"/>
      <c r="V276" s="174"/>
      <c r="W276" s="363"/>
      <c r="X276" s="84"/>
      <c r="Y276" s="85"/>
      <c r="Z276" s="86"/>
      <c r="AA276" s="393"/>
      <c r="AB276" s="259"/>
      <c r="AC276" s="401"/>
    </row>
    <row r="277" spans="1:29" s="20" customFormat="1" x14ac:dyDescent="0.3">
      <c r="A277" s="370">
        <v>45932</v>
      </c>
      <c r="B277" s="37"/>
      <c r="C277" s="14"/>
      <c r="D277" s="14"/>
      <c r="E277" s="14"/>
      <c r="F277" s="14"/>
      <c r="G277" s="58"/>
      <c r="H277" s="58"/>
      <c r="I277" s="60"/>
      <c r="J277" s="366"/>
      <c r="K277" s="29"/>
      <c r="L277" s="58"/>
      <c r="M277" s="90"/>
      <c r="N277" s="30"/>
      <c r="O277" s="87"/>
      <c r="P277" s="377"/>
      <c r="Q277" s="21"/>
      <c r="R277" s="382"/>
      <c r="S277" s="54"/>
      <c r="T277" s="47"/>
      <c r="U277" s="25"/>
      <c r="V277" s="175"/>
      <c r="W277" s="196"/>
      <c r="X277" s="16"/>
      <c r="Y277" s="17"/>
      <c r="Z277" s="18"/>
      <c r="AA277" s="394"/>
      <c r="AB277" s="260"/>
      <c r="AC277" s="200"/>
    </row>
    <row r="278" spans="1:29" s="20" customFormat="1" x14ac:dyDescent="0.3">
      <c r="A278" s="370">
        <v>45933</v>
      </c>
      <c r="B278" s="37"/>
      <c r="C278" s="14"/>
      <c r="D278" s="14"/>
      <c r="E278" s="14"/>
      <c r="F278" s="14"/>
      <c r="G278" s="58"/>
      <c r="H278" s="58"/>
      <c r="I278" s="60"/>
      <c r="J278" s="366"/>
      <c r="K278" s="29"/>
      <c r="L278" s="58"/>
      <c r="M278" s="90"/>
      <c r="N278" s="30"/>
      <c r="O278" s="87"/>
      <c r="P278" s="377"/>
      <c r="Q278" s="21"/>
      <c r="R278" s="382"/>
      <c r="S278" s="54"/>
      <c r="T278" s="47"/>
      <c r="U278" s="25"/>
      <c r="V278" s="175"/>
      <c r="W278" s="196"/>
      <c r="X278" s="16"/>
      <c r="Y278" s="17"/>
      <c r="Z278" s="18"/>
      <c r="AA278" s="394"/>
      <c r="AB278" s="260"/>
      <c r="AC278" s="200"/>
    </row>
    <row r="279" spans="1:29" s="20" customFormat="1" x14ac:dyDescent="0.3">
      <c r="A279" s="370">
        <v>45934</v>
      </c>
      <c r="B279" s="37"/>
      <c r="C279" s="14"/>
      <c r="D279" s="14"/>
      <c r="E279" s="14"/>
      <c r="F279" s="14"/>
      <c r="G279" s="58"/>
      <c r="H279" s="58"/>
      <c r="I279" s="60"/>
      <c r="J279" s="165"/>
      <c r="K279" s="14"/>
      <c r="L279" s="50"/>
      <c r="M279" s="66"/>
      <c r="N279" s="24"/>
      <c r="O279" s="62"/>
      <c r="P279" s="377"/>
      <c r="Q279" s="21"/>
      <c r="R279" s="383"/>
      <c r="S279" s="55"/>
      <c r="T279" s="48"/>
      <c r="U279" s="19"/>
      <c r="V279" s="175"/>
      <c r="W279" s="197"/>
      <c r="X279" s="16"/>
      <c r="Y279" s="17"/>
      <c r="Z279" s="18"/>
      <c r="AA279" s="394"/>
      <c r="AB279" s="260"/>
      <c r="AC279" s="200"/>
    </row>
    <row r="280" spans="1:29" s="20" customFormat="1" x14ac:dyDescent="0.3">
      <c r="A280" s="370">
        <v>45935</v>
      </c>
      <c r="B280" s="37"/>
      <c r="C280" s="14"/>
      <c r="D280" s="14"/>
      <c r="E280" s="14"/>
      <c r="F280" s="14"/>
      <c r="G280" s="50"/>
      <c r="H280" s="50"/>
      <c r="I280" s="60"/>
      <c r="J280" s="165"/>
      <c r="K280" s="14"/>
      <c r="L280" s="50"/>
      <c r="M280" s="66"/>
      <c r="N280" s="24"/>
      <c r="O280" s="62"/>
      <c r="P280" s="377"/>
      <c r="Q280" s="21"/>
      <c r="R280" s="383"/>
      <c r="S280" s="54"/>
      <c r="T280" s="47"/>
      <c r="U280" s="25"/>
      <c r="V280" s="175"/>
      <c r="W280" s="197"/>
      <c r="X280" s="16"/>
      <c r="Y280" s="17"/>
      <c r="Z280" s="18"/>
      <c r="AA280" s="394"/>
      <c r="AB280" s="260"/>
      <c r="AC280" s="200"/>
    </row>
    <row r="281" spans="1:29" s="20" customFormat="1" x14ac:dyDescent="0.3">
      <c r="A281" s="370">
        <v>45936</v>
      </c>
      <c r="B281" s="37"/>
      <c r="C281" s="14"/>
      <c r="D281" s="14"/>
      <c r="E281" s="14"/>
      <c r="F281" s="14"/>
      <c r="G281" s="50"/>
      <c r="H281" s="50"/>
      <c r="I281" s="60"/>
      <c r="J281" s="165"/>
      <c r="K281" s="14"/>
      <c r="L281" s="50"/>
      <c r="M281" s="66"/>
      <c r="N281" s="24"/>
      <c r="O281" s="62"/>
      <c r="P281" s="377"/>
      <c r="Q281" s="21"/>
      <c r="R281" s="383"/>
      <c r="S281" s="54"/>
      <c r="T281" s="47"/>
      <c r="U281" s="25"/>
      <c r="V281" s="175"/>
      <c r="W281" s="197"/>
      <c r="X281" s="16"/>
      <c r="Y281" s="17"/>
      <c r="Z281" s="18"/>
      <c r="AA281" s="394"/>
      <c r="AB281" s="260"/>
      <c r="AC281" s="200"/>
    </row>
    <row r="282" spans="1:29" s="20" customFormat="1" x14ac:dyDescent="0.3">
      <c r="A282" s="370">
        <v>45937</v>
      </c>
      <c r="B282" s="37"/>
      <c r="C282" s="14"/>
      <c r="D282" s="14"/>
      <c r="E282" s="14"/>
      <c r="F282" s="14"/>
      <c r="G282" s="50"/>
      <c r="H282" s="50"/>
      <c r="I282" s="60"/>
      <c r="J282" s="165"/>
      <c r="K282" s="14"/>
      <c r="L282" s="50"/>
      <c r="M282" s="66"/>
      <c r="N282" s="24"/>
      <c r="O282" s="62"/>
      <c r="P282" s="377"/>
      <c r="Q282" s="21"/>
      <c r="R282" s="383"/>
      <c r="S282" s="54"/>
      <c r="T282" s="47"/>
      <c r="U282" s="25"/>
      <c r="V282" s="175"/>
      <c r="W282" s="197"/>
      <c r="X282" s="16"/>
      <c r="Y282" s="17"/>
      <c r="Z282" s="18"/>
      <c r="AA282" s="394"/>
      <c r="AB282" s="260"/>
      <c r="AC282" s="200"/>
    </row>
    <row r="283" spans="1:29" s="20" customFormat="1" x14ac:dyDescent="0.3">
      <c r="A283" s="370">
        <v>45938</v>
      </c>
      <c r="B283" s="37"/>
      <c r="C283" s="14"/>
      <c r="D283" s="14"/>
      <c r="E283" s="14"/>
      <c r="F283" s="14"/>
      <c r="G283" s="50"/>
      <c r="H283" s="50"/>
      <c r="I283" s="60"/>
      <c r="J283" s="165"/>
      <c r="K283" s="14"/>
      <c r="L283" s="50"/>
      <c r="M283" s="66"/>
      <c r="N283" s="24"/>
      <c r="O283" s="62"/>
      <c r="P283" s="377"/>
      <c r="Q283" s="21"/>
      <c r="R283" s="383"/>
      <c r="S283" s="54"/>
      <c r="T283" s="47"/>
      <c r="U283" s="25"/>
      <c r="V283" s="175"/>
      <c r="W283" s="197"/>
      <c r="X283" s="16"/>
      <c r="Y283" s="17"/>
      <c r="Z283" s="18"/>
      <c r="AA283" s="394"/>
      <c r="AB283" s="260"/>
      <c r="AC283" s="200"/>
    </row>
    <row r="284" spans="1:29" s="20" customFormat="1" x14ac:dyDescent="0.3">
      <c r="A284" s="370">
        <v>45939</v>
      </c>
      <c r="B284" s="37"/>
      <c r="C284" s="14"/>
      <c r="D284" s="14"/>
      <c r="E284" s="14"/>
      <c r="F284" s="14"/>
      <c r="G284" s="50"/>
      <c r="H284" s="50"/>
      <c r="I284" s="60"/>
      <c r="J284" s="165"/>
      <c r="K284" s="14"/>
      <c r="L284" s="50"/>
      <c r="M284" s="66"/>
      <c r="N284" s="24"/>
      <c r="O284" s="62"/>
      <c r="P284" s="377"/>
      <c r="Q284" s="21"/>
      <c r="R284" s="383"/>
      <c r="S284" s="54"/>
      <c r="T284" s="47"/>
      <c r="U284" s="25"/>
      <c r="V284" s="175"/>
      <c r="W284" s="197"/>
      <c r="X284" s="16"/>
      <c r="Y284" s="17"/>
      <c r="Z284" s="18"/>
      <c r="AA284" s="394"/>
      <c r="AB284" s="260"/>
      <c r="AC284" s="200"/>
    </row>
    <row r="285" spans="1:29" s="20" customFormat="1" x14ac:dyDescent="0.3">
      <c r="A285" s="370">
        <v>45940</v>
      </c>
      <c r="B285" s="37"/>
      <c r="C285" s="14"/>
      <c r="D285" s="14"/>
      <c r="E285" s="14"/>
      <c r="F285" s="14"/>
      <c r="G285" s="50"/>
      <c r="H285" s="50"/>
      <c r="I285" s="60"/>
      <c r="J285" s="165"/>
      <c r="K285" s="14"/>
      <c r="L285" s="50"/>
      <c r="M285" s="66"/>
      <c r="N285" s="24"/>
      <c r="O285" s="62"/>
      <c r="P285" s="377"/>
      <c r="Q285" s="21"/>
      <c r="R285" s="383"/>
      <c r="S285" s="54"/>
      <c r="T285" s="47"/>
      <c r="U285" s="25"/>
      <c r="V285" s="175"/>
      <c r="W285" s="197"/>
      <c r="X285" s="16"/>
      <c r="Y285" s="17"/>
      <c r="Z285" s="18"/>
      <c r="AA285" s="394"/>
      <c r="AB285" s="260"/>
      <c r="AC285" s="200"/>
    </row>
    <row r="286" spans="1:29" s="20" customFormat="1" x14ac:dyDescent="0.3">
      <c r="A286" s="370">
        <v>45941</v>
      </c>
      <c r="B286" s="37"/>
      <c r="C286" s="14"/>
      <c r="D286" s="14"/>
      <c r="E286" s="14"/>
      <c r="F286" s="14"/>
      <c r="G286" s="50"/>
      <c r="H286" s="50"/>
      <c r="I286" s="60"/>
      <c r="J286" s="165"/>
      <c r="K286" s="14"/>
      <c r="L286" s="50"/>
      <c r="M286" s="66"/>
      <c r="N286" s="24"/>
      <c r="O286" s="62"/>
      <c r="P286" s="377"/>
      <c r="Q286" s="21"/>
      <c r="R286" s="383"/>
      <c r="S286" s="54"/>
      <c r="T286" s="47"/>
      <c r="U286" s="25"/>
      <c r="V286" s="175"/>
      <c r="W286" s="197"/>
      <c r="X286" s="16"/>
      <c r="Y286" s="17"/>
      <c r="Z286" s="18"/>
      <c r="AA286" s="394"/>
      <c r="AB286" s="260"/>
      <c r="AC286" s="200"/>
    </row>
    <row r="287" spans="1:29" s="20" customFormat="1" x14ac:dyDescent="0.3">
      <c r="A287" s="370">
        <v>45942</v>
      </c>
      <c r="B287" s="37"/>
      <c r="C287" s="14"/>
      <c r="D287" s="14"/>
      <c r="E287" s="14"/>
      <c r="F287" s="14"/>
      <c r="G287" s="50"/>
      <c r="H287" s="50"/>
      <c r="I287" s="60"/>
      <c r="J287" s="165"/>
      <c r="K287" s="14"/>
      <c r="L287" s="50"/>
      <c r="M287" s="66"/>
      <c r="N287" s="24"/>
      <c r="O287" s="62"/>
      <c r="P287" s="377"/>
      <c r="Q287" s="21"/>
      <c r="R287" s="383"/>
      <c r="S287" s="54"/>
      <c r="T287" s="47"/>
      <c r="U287" s="25"/>
      <c r="V287" s="175"/>
      <c r="W287" s="197"/>
      <c r="X287" s="16"/>
      <c r="Y287" s="17"/>
      <c r="Z287" s="18"/>
      <c r="AA287" s="394"/>
      <c r="AB287" s="260"/>
      <c r="AC287" s="200"/>
    </row>
    <row r="288" spans="1:29" s="20" customFormat="1" x14ac:dyDescent="0.3">
      <c r="A288" s="370">
        <v>45943</v>
      </c>
      <c r="B288" s="37"/>
      <c r="C288" s="14"/>
      <c r="D288" s="14"/>
      <c r="E288" s="14"/>
      <c r="F288" s="14"/>
      <c r="G288" s="50"/>
      <c r="H288" s="50"/>
      <c r="I288" s="60"/>
      <c r="J288" s="165"/>
      <c r="K288" s="14"/>
      <c r="L288" s="50"/>
      <c r="M288" s="66"/>
      <c r="N288" s="24"/>
      <c r="O288" s="62"/>
      <c r="P288" s="377"/>
      <c r="Q288" s="21"/>
      <c r="R288" s="383"/>
      <c r="S288" s="54"/>
      <c r="T288" s="47"/>
      <c r="U288" s="25"/>
      <c r="V288" s="175"/>
      <c r="W288" s="198"/>
      <c r="X288" s="26"/>
      <c r="Y288" s="27"/>
      <c r="Z288" s="28"/>
      <c r="AA288" s="396"/>
      <c r="AB288" s="261"/>
      <c r="AC288" s="200"/>
    </row>
    <row r="289" spans="1:29" s="20" customFormat="1" x14ac:dyDescent="0.3">
      <c r="A289" s="370">
        <v>45944</v>
      </c>
      <c r="B289" s="37"/>
      <c r="C289" s="14"/>
      <c r="D289" s="14"/>
      <c r="E289" s="14"/>
      <c r="F289" s="14"/>
      <c r="G289" s="50"/>
      <c r="H289" s="50"/>
      <c r="I289" s="60"/>
      <c r="J289" s="165"/>
      <c r="K289" s="14"/>
      <c r="L289" s="50"/>
      <c r="M289" s="66"/>
      <c r="N289" s="24"/>
      <c r="O289" s="62"/>
      <c r="P289" s="377"/>
      <c r="Q289" s="21"/>
      <c r="R289" s="383"/>
      <c r="S289" s="54"/>
      <c r="T289" s="47"/>
      <c r="U289" s="25"/>
      <c r="V289" s="175"/>
      <c r="W289" s="198"/>
      <c r="X289" s="26"/>
      <c r="Y289" s="27"/>
      <c r="Z289" s="28"/>
      <c r="AA289" s="396"/>
      <c r="AB289" s="261"/>
      <c r="AC289" s="200"/>
    </row>
    <row r="290" spans="1:29" s="20" customFormat="1" x14ac:dyDescent="0.3">
      <c r="A290" s="370">
        <v>45945</v>
      </c>
      <c r="B290" s="37"/>
      <c r="C290" s="14"/>
      <c r="D290" s="14"/>
      <c r="E290" s="14"/>
      <c r="F290" s="14"/>
      <c r="G290" s="50"/>
      <c r="H290" s="50"/>
      <c r="I290" s="60"/>
      <c r="J290" s="165"/>
      <c r="K290" s="14"/>
      <c r="L290" s="50"/>
      <c r="M290" s="66"/>
      <c r="N290" s="24"/>
      <c r="O290" s="62"/>
      <c r="P290" s="377"/>
      <c r="Q290" s="21"/>
      <c r="R290" s="383"/>
      <c r="S290" s="54"/>
      <c r="T290" s="47"/>
      <c r="U290" s="25"/>
      <c r="V290" s="175"/>
      <c r="W290" s="198"/>
      <c r="X290" s="26"/>
      <c r="Y290" s="27"/>
      <c r="Z290" s="28"/>
      <c r="AA290" s="396"/>
      <c r="AB290" s="261"/>
      <c r="AC290" s="200"/>
    </row>
    <row r="291" spans="1:29" s="20" customFormat="1" x14ac:dyDescent="0.3">
      <c r="A291" s="370">
        <v>45946</v>
      </c>
      <c r="B291" s="37"/>
      <c r="C291" s="14"/>
      <c r="D291" s="14"/>
      <c r="E291" s="14"/>
      <c r="F291" s="14"/>
      <c r="G291" s="50"/>
      <c r="H291" s="50"/>
      <c r="I291" s="60"/>
      <c r="J291" s="165"/>
      <c r="K291" s="14"/>
      <c r="L291" s="50"/>
      <c r="M291" s="66"/>
      <c r="N291" s="24"/>
      <c r="O291" s="62"/>
      <c r="P291" s="377"/>
      <c r="Q291" s="21"/>
      <c r="R291" s="383"/>
      <c r="S291" s="54"/>
      <c r="T291" s="47"/>
      <c r="U291" s="25"/>
      <c r="V291" s="175"/>
      <c r="W291" s="198"/>
      <c r="X291" s="26"/>
      <c r="Y291" s="27"/>
      <c r="Z291" s="28"/>
      <c r="AA291" s="396"/>
      <c r="AB291" s="261"/>
      <c r="AC291" s="200"/>
    </row>
    <row r="292" spans="1:29" s="20" customFormat="1" x14ac:dyDescent="0.3">
      <c r="A292" s="370">
        <v>45947</v>
      </c>
      <c r="B292" s="37"/>
      <c r="C292" s="14"/>
      <c r="D292" s="14"/>
      <c r="E292" s="14"/>
      <c r="F292" s="14"/>
      <c r="G292" s="50"/>
      <c r="H292" s="50"/>
      <c r="I292" s="60"/>
      <c r="J292" s="165"/>
      <c r="K292" s="14"/>
      <c r="L292" s="50"/>
      <c r="M292" s="66"/>
      <c r="N292" s="24"/>
      <c r="O292" s="62"/>
      <c r="P292" s="377"/>
      <c r="Q292" s="21"/>
      <c r="R292" s="383"/>
      <c r="S292" s="54"/>
      <c r="T292" s="47"/>
      <c r="U292" s="25"/>
      <c r="V292" s="175"/>
      <c r="W292" s="198"/>
      <c r="X292" s="26"/>
      <c r="Y292" s="27"/>
      <c r="Z292" s="28"/>
      <c r="AA292" s="396"/>
      <c r="AB292" s="261"/>
      <c r="AC292" s="200"/>
    </row>
    <row r="293" spans="1:29" s="20" customFormat="1" x14ac:dyDescent="0.3">
      <c r="A293" s="370">
        <v>45948</v>
      </c>
      <c r="B293" s="37"/>
      <c r="C293" s="14"/>
      <c r="D293" s="14"/>
      <c r="E293" s="14"/>
      <c r="F293" s="14"/>
      <c r="G293" s="50"/>
      <c r="H293" s="50"/>
      <c r="I293" s="60"/>
      <c r="J293" s="165"/>
      <c r="K293" s="14"/>
      <c r="L293" s="50"/>
      <c r="M293" s="66"/>
      <c r="N293" s="24"/>
      <c r="O293" s="62"/>
      <c r="P293" s="377"/>
      <c r="Q293" s="21"/>
      <c r="R293" s="383"/>
      <c r="S293" s="54"/>
      <c r="T293" s="47"/>
      <c r="U293" s="25"/>
      <c r="V293" s="175"/>
      <c r="W293" s="198"/>
      <c r="X293" s="26"/>
      <c r="Y293" s="27"/>
      <c r="Z293" s="28"/>
      <c r="AA293" s="396"/>
      <c r="AB293" s="261"/>
      <c r="AC293" s="200"/>
    </row>
    <row r="294" spans="1:29" s="20" customFormat="1" x14ac:dyDescent="0.3">
      <c r="A294" s="370">
        <v>45949</v>
      </c>
      <c r="B294" s="37"/>
      <c r="C294" s="14"/>
      <c r="D294" s="14"/>
      <c r="E294" s="14"/>
      <c r="F294" s="14"/>
      <c r="G294" s="50"/>
      <c r="H294" s="50"/>
      <c r="I294" s="60"/>
      <c r="J294" s="165"/>
      <c r="K294" s="14"/>
      <c r="L294" s="50"/>
      <c r="M294" s="66"/>
      <c r="N294" s="24"/>
      <c r="O294" s="62"/>
      <c r="P294" s="377"/>
      <c r="Q294" s="21"/>
      <c r="R294" s="383"/>
      <c r="S294" s="54"/>
      <c r="T294" s="47"/>
      <c r="U294" s="25"/>
      <c r="V294" s="175"/>
      <c r="W294" s="198"/>
      <c r="X294" s="26"/>
      <c r="Y294" s="27"/>
      <c r="Z294" s="28"/>
      <c r="AA294" s="396"/>
      <c r="AB294" s="261"/>
      <c r="AC294" s="200"/>
    </row>
    <row r="295" spans="1:29" s="20" customFormat="1" x14ac:dyDescent="0.3">
      <c r="A295" s="370">
        <v>45950</v>
      </c>
      <c r="B295" s="37"/>
      <c r="C295" s="14"/>
      <c r="D295" s="14"/>
      <c r="E295" s="14"/>
      <c r="F295" s="14"/>
      <c r="G295" s="50"/>
      <c r="H295" s="50"/>
      <c r="I295" s="60"/>
      <c r="J295" s="165"/>
      <c r="K295" s="14"/>
      <c r="L295" s="50"/>
      <c r="M295" s="66"/>
      <c r="N295" s="24"/>
      <c r="O295" s="62"/>
      <c r="P295" s="377"/>
      <c r="Q295" s="21"/>
      <c r="R295" s="383"/>
      <c r="S295" s="54"/>
      <c r="T295" s="47"/>
      <c r="U295" s="25"/>
      <c r="V295" s="175"/>
      <c r="W295" s="198"/>
      <c r="X295" s="26"/>
      <c r="Y295" s="27"/>
      <c r="Z295" s="28"/>
      <c r="AA295" s="396"/>
      <c r="AB295" s="261"/>
      <c r="AC295" s="200"/>
    </row>
    <row r="296" spans="1:29" s="20" customFormat="1" x14ac:dyDescent="0.3">
      <c r="A296" s="370">
        <v>45951</v>
      </c>
      <c r="B296" s="37"/>
      <c r="C296" s="14"/>
      <c r="D296" s="14"/>
      <c r="E296" s="14"/>
      <c r="F296" s="14"/>
      <c r="G296" s="50"/>
      <c r="H296" s="50"/>
      <c r="I296" s="60"/>
      <c r="J296" s="165"/>
      <c r="K296" s="14"/>
      <c r="L296" s="50"/>
      <c r="M296" s="66"/>
      <c r="N296" s="24"/>
      <c r="O296" s="62"/>
      <c r="P296" s="377"/>
      <c r="Q296" s="21"/>
      <c r="R296" s="383"/>
      <c r="S296" s="54"/>
      <c r="T296" s="47"/>
      <c r="U296" s="25"/>
      <c r="V296" s="175"/>
      <c r="W296" s="198"/>
      <c r="X296" s="26"/>
      <c r="Y296" s="27"/>
      <c r="Z296" s="28"/>
      <c r="AA296" s="396"/>
      <c r="AB296" s="261"/>
      <c r="AC296" s="200"/>
    </row>
    <row r="297" spans="1:29" s="20" customFormat="1" x14ac:dyDescent="0.3">
      <c r="A297" s="370">
        <v>45952</v>
      </c>
      <c r="B297" s="37"/>
      <c r="C297" s="14"/>
      <c r="D297" s="14"/>
      <c r="E297" s="14"/>
      <c r="F297" s="14"/>
      <c r="G297" s="50"/>
      <c r="H297" s="50"/>
      <c r="I297" s="60"/>
      <c r="J297" s="165"/>
      <c r="K297" s="14"/>
      <c r="L297" s="50"/>
      <c r="M297" s="66"/>
      <c r="N297" s="24"/>
      <c r="O297" s="62"/>
      <c r="P297" s="377"/>
      <c r="Q297" s="21"/>
      <c r="R297" s="383"/>
      <c r="S297" s="54"/>
      <c r="T297" s="47"/>
      <c r="U297" s="25"/>
      <c r="V297" s="175"/>
      <c r="W297" s="198"/>
      <c r="X297" s="26"/>
      <c r="Y297" s="27"/>
      <c r="Z297" s="28"/>
      <c r="AA297" s="396"/>
      <c r="AB297" s="261"/>
      <c r="AC297" s="200"/>
    </row>
    <row r="298" spans="1:29" s="20" customFormat="1" x14ac:dyDescent="0.3">
      <c r="A298" s="370">
        <v>45953</v>
      </c>
      <c r="B298" s="37"/>
      <c r="C298" s="14"/>
      <c r="D298" s="14"/>
      <c r="E298" s="14"/>
      <c r="F298" s="14"/>
      <c r="G298" s="50"/>
      <c r="H298" s="50"/>
      <c r="I298" s="60"/>
      <c r="J298" s="165"/>
      <c r="K298" s="14"/>
      <c r="L298" s="50"/>
      <c r="M298" s="66"/>
      <c r="N298" s="24"/>
      <c r="O298" s="62"/>
      <c r="P298" s="377"/>
      <c r="Q298" s="21"/>
      <c r="R298" s="383"/>
      <c r="S298" s="54"/>
      <c r="T298" s="47"/>
      <c r="U298" s="25"/>
      <c r="V298" s="175"/>
      <c r="W298" s="198"/>
      <c r="X298" s="26"/>
      <c r="Y298" s="27"/>
      <c r="Z298" s="28"/>
      <c r="AA298" s="396"/>
      <c r="AB298" s="261"/>
      <c r="AC298" s="200"/>
    </row>
    <row r="299" spans="1:29" s="20" customFormat="1" x14ac:dyDescent="0.3">
      <c r="A299" s="370">
        <v>45954</v>
      </c>
      <c r="B299" s="37"/>
      <c r="C299" s="14"/>
      <c r="D299" s="14"/>
      <c r="E299" s="14"/>
      <c r="F299" s="14"/>
      <c r="G299" s="50"/>
      <c r="H299" s="50"/>
      <c r="I299" s="60"/>
      <c r="J299" s="165"/>
      <c r="K299" s="14"/>
      <c r="L299" s="50"/>
      <c r="M299" s="66"/>
      <c r="N299" s="24"/>
      <c r="O299" s="62"/>
      <c r="P299" s="377"/>
      <c r="Q299" s="21"/>
      <c r="R299" s="383"/>
      <c r="S299" s="54"/>
      <c r="T299" s="47"/>
      <c r="U299" s="25"/>
      <c r="V299" s="175"/>
      <c r="W299" s="198"/>
      <c r="X299" s="26"/>
      <c r="Y299" s="27"/>
      <c r="Z299" s="28"/>
      <c r="AA299" s="396"/>
      <c r="AB299" s="261"/>
      <c r="AC299" s="200"/>
    </row>
    <row r="300" spans="1:29" s="20" customFormat="1" x14ac:dyDescent="0.3">
      <c r="A300" s="370">
        <v>45955</v>
      </c>
      <c r="B300" s="37"/>
      <c r="C300" s="14"/>
      <c r="D300" s="14"/>
      <c r="E300" s="14"/>
      <c r="F300" s="14"/>
      <c r="G300" s="50"/>
      <c r="H300" s="50"/>
      <c r="I300" s="60"/>
      <c r="J300" s="165"/>
      <c r="K300" s="14"/>
      <c r="L300" s="50"/>
      <c r="M300" s="66"/>
      <c r="N300" s="24"/>
      <c r="O300" s="62"/>
      <c r="P300" s="377"/>
      <c r="Q300" s="21"/>
      <c r="R300" s="383"/>
      <c r="S300" s="54"/>
      <c r="T300" s="47"/>
      <c r="U300" s="25"/>
      <c r="V300" s="175"/>
      <c r="W300" s="198"/>
      <c r="X300" s="26"/>
      <c r="Y300" s="27"/>
      <c r="Z300" s="28"/>
      <c r="AA300" s="396"/>
      <c r="AB300" s="261"/>
      <c r="AC300" s="200"/>
    </row>
    <row r="301" spans="1:29" s="20" customFormat="1" x14ac:dyDescent="0.3">
      <c r="A301" s="370">
        <v>45956</v>
      </c>
      <c r="B301" s="37"/>
      <c r="C301" s="14"/>
      <c r="D301" s="14"/>
      <c r="E301" s="14"/>
      <c r="F301" s="14"/>
      <c r="G301" s="50"/>
      <c r="H301" s="50"/>
      <c r="I301" s="60"/>
      <c r="J301" s="165"/>
      <c r="K301" s="14"/>
      <c r="L301" s="50"/>
      <c r="M301" s="66"/>
      <c r="N301" s="24"/>
      <c r="O301" s="62"/>
      <c r="P301" s="377"/>
      <c r="Q301" s="21"/>
      <c r="R301" s="383"/>
      <c r="S301" s="54"/>
      <c r="T301" s="47"/>
      <c r="U301" s="25"/>
      <c r="V301" s="175"/>
      <c r="W301" s="198"/>
      <c r="X301" s="26"/>
      <c r="Y301" s="27"/>
      <c r="Z301" s="28"/>
      <c r="AA301" s="396"/>
      <c r="AB301" s="261"/>
      <c r="AC301" s="200"/>
    </row>
    <row r="302" spans="1:29" s="20" customFormat="1" x14ac:dyDescent="0.3">
      <c r="A302" s="370">
        <v>45957</v>
      </c>
      <c r="B302" s="37"/>
      <c r="C302" s="14"/>
      <c r="D302" s="14"/>
      <c r="E302" s="14"/>
      <c r="F302" s="14"/>
      <c r="G302" s="50"/>
      <c r="H302" s="50"/>
      <c r="I302" s="60"/>
      <c r="J302" s="165"/>
      <c r="K302" s="14"/>
      <c r="L302" s="50"/>
      <c r="M302" s="66"/>
      <c r="N302" s="24"/>
      <c r="O302" s="62"/>
      <c r="P302" s="377"/>
      <c r="Q302" s="21"/>
      <c r="R302" s="383"/>
      <c r="S302" s="54"/>
      <c r="T302" s="47"/>
      <c r="U302" s="25"/>
      <c r="V302" s="175"/>
      <c r="W302" s="198"/>
      <c r="X302" s="26"/>
      <c r="Y302" s="27"/>
      <c r="Z302" s="28"/>
      <c r="AA302" s="396"/>
      <c r="AB302" s="261"/>
      <c r="AC302" s="200"/>
    </row>
    <row r="303" spans="1:29" s="20" customFormat="1" x14ac:dyDescent="0.3">
      <c r="A303" s="370">
        <v>45958</v>
      </c>
      <c r="B303" s="37"/>
      <c r="C303" s="14"/>
      <c r="D303" s="14"/>
      <c r="E303" s="14"/>
      <c r="F303" s="14"/>
      <c r="G303" s="50"/>
      <c r="H303" s="50"/>
      <c r="I303" s="60"/>
      <c r="J303" s="165"/>
      <c r="K303" s="14"/>
      <c r="L303" s="50"/>
      <c r="M303" s="66"/>
      <c r="N303" s="24"/>
      <c r="O303" s="62"/>
      <c r="P303" s="377"/>
      <c r="Q303" s="21"/>
      <c r="R303" s="383"/>
      <c r="S303" s="54"/>
      <c r="T303" s="47"/>
      <c r="U303" s="25"/>
      <c r="V303" s="175"/>
      <c r="W303" s="198"/>
      <c r="X303" s="26"/>
      <c r="Y303" s="27"/>
      <c r="Z303" s="28"/>
      <c r="AA303" s="396"/>
      <c r="AB303" s="261"/>
      <c r="AC303" s="200"/>
    </row>
    <row r="304" spans="1:29" s="20" customFormat="1" x14ac:dyDescent="0.3">
      <c r="A304" s="370">
        <v>45959</v>
      </c>
      <c r="B304" s="37"/>
      <c r="C304" s="14"/>
      <c r="D304" s="14"/>
      <c r="E304" s="14"/>
      <c r="F304" s="14"/>
      <c r="G304" s="50"/>
      <c r="H304" s="50"/>
      <c r="I304" s="60"/>
      <c r="J304" s="165"/>
      <c r="K304" s="14"/>
      <c r="L304" s="50"/>
      <c r="M304" s="66"/>
      <c r="N304" s="24"/>
      <c r="O304" s="62"/>
      <c r="P304" s="377"/>
      <c r="Q304" s="21"/>
      <c r="R304" s="383"/>
      <c r="S304" s="54"/>
      <c r="T304" s="47"/>
      <c r="U304" s="25"/>
      <c r="V304" s="175"/>
      <c r="W304" s="198"/>
      <c r="X304" s="26"/>
      <c r="Y304" s="27"/>
      <c r="Z304" s="28"/>
      <c r="AA304" s="396"/>
      <c r="AB304" s="261"/>
      <c r="AC304" s="200"/>
    </row>
    <row r="305" spans="1:29" s="20" customFormat="1" x14ac:dyDescent="0.3">
      <c r="A305" s="370">
        <v>45960</v>
      </c>
      <c r="B305" s="37"/>
      <c r="C305" s="14"/>
      <c r="D305" s="14"/>
      <c r="E305" s="14"/>
      <c r="F305" s="14"/>
      <c r="G305" s="50"/>
      <c r="H305" s="50"/>
      <c r="I305" s="60"/>
      <c r="J305" s="165"/>
      <c r="K305" s="14"/>
      <c r="L305" s="50"/>
      <c r="M305" s="66"/>
      <c r="N305" s="24"/>
      <c r="O305" s="62"/>
      <c r="P305" s="377"/>
      <c r="Q305" s="21"/>
      <c r="R305" s="383"/>
      <c r="S305" s="54"/>
      <c r="T305" s="47"/>
      <c r="U305" s="25"/>
      <c r="V305" s="175"/>
      <c r="W305" s="198"/>
      <c r="X305" s="26"/>
      <c r="Y305" s="27"/>
      <c r="Z305" s="28"/>
      <c r="AA305" s="396"/>
      <c r="AB305" s="261"/>
      <c r="AC305" s="200"/>
    </row>
    <row r="306" spans="1:29" s="257" customFormat="1" ht="15" thickBot="1" x14ac:dyDescent="0.35">
      <c r="A306" s="372">
        <v>45961</v>
      </c>
      <c r="B306" s="38"/>
      <c r="C306" s="22"/>
      <c r="D306" s="22"/>
      <c r="E306" s="22"/>
      <c r="F306" s="22"/>
      <c r="G306" s="256"/>
      <c r="H306" s="256"/>
      <c r="I306" s="61"/>
      <c r="J306" s="166"/>
      <c r="K306" s="22"/>
      <c r="L306" s="256"/>
      <c r="M306" s="67"/>
      <c r="N306" s="52"/>
      <c r="O306" s="63"/>
      <c r="P306" s="381"/>
      <c r="Q306" s="53"/>
      <c r="R306" s="388"/>
      <c r="S306" s="56"/>
      <c r="T306" s="49"/>
      <c r="U306" s="39"/>
      <c r="V306" s="176"/>
      <c r="W306" s="199"/>
      <c r="X306" s="40"/>
      <c r="Y306" s="41"/>
      <c r="Z306" s="42"/>
      <c r="AA306" s="399"/>
      <c r="AB306" s="262"/>
      <c r="AC306" s="404"/>
    </row>
    <row r="307" spans="1:29" s="33" customFormat="1" x14ac:dyDescent="0.3">
      <c r="A307" s="370">
        <v>45962</v>
      </c>
      <c r="B307" s="57"/>
      <c r="C307" s="29"/>
      <c r="D307" s="29"/>
      <c r="E307" s="29"/>
      <c r="F307" s="29"/>
      <c r="G307" s="58"/>
      <c r="H307" s="58"/>
      <c r="I307" s="65"/>
      <c r="J307" s="366"/>
      <c r="K307" s="29"/>
      <c r="L307" s="58"/>
      <c r="M307" s="90"/>
      <c r="N307" s="30"/>
      <c r="O307" s="87"/>
      <c r="P307" s="376"/>
      <c r="Q307" s="31"/>
      <c r="R307" s="382"/>
      <c r="S307" s="89"/>
      <c r="T307" s="88"/>
      <c r="U307" s="32"/>
      <c r="V307" s="174"/>
      <c r="W307" s="363"/>
      <c r="X307" s="84"/>
      <c r="Y307" s="85"/>
      <c r="Z307" s="86"/>
      <c r="AA307" s="393"/>
      <c r="AB307" s="259"/>
      <c r="AC307" s="401"/>
    </row>
    <row r="308" spans="1:29" s="20" customFormat="1" x14ac:dyDescent="0.3">
      <c r="A308" s="370">
        <v>45963</v>
      </c>
      <c r="B308" s="37"/>
      <c r="C308" s="14"/>
      <c r="D308" s="14"/>
      <c r="E308" s="14"/>
      <c r="F308" s="14"/>
      <c r="G308" s="58"/>
      <c r="H308" s="58"/>
      <c r="I308" s="60"/>
      <c r="J308" s="165"/>
      <c r="K308" s="14"/>
      <c r="L308" s="50"/>
      <c r="M308" s="66"/>
      <c r="N308" s="24"/>
      <c r="O308" s="62"/>
      <c r="P308" s="377"/>
      <c r="Q308" s="21"/>
      <c r="R308" s="383"/>
      <c r="S308" s="54"/>
      <c r="T308" s="47"/>
      <c r="U308" s="25"/>
      <c r="V308" s="175"/>
      <c r="W308" s="196"/>
      <c r="X308" s="16"/>
      <c r="Y308" s="17"/>
      <c r="Z308" s="18"/>
      <c r="AA308" s="394"/>
      <c r="AB308" s="260"/>
      <c r="AC308" s="200"/>
    </row>
    <row r="309" spans="1:29" s="20" customFormat="1" x14ac:dyDescent="0.3">
      <c r="A309" s="370">
        <v>45964</v>
      </c>
      <c r="B309" s="37"/>
      <c r="C309" s="14"/>
      <c r="D309" s="14"/>
      <c r="E309" s="14"/>
      <c r="F309" s="14"/>
      <c r="G309" s="58"/>
      <c r="H309" s="58"/>
      <c r="I309" s="60"/>
      <c r="J309" s="165"/>
      <c r="K309" s="14"/>
      <c r="L309" s="50"/>
      <c r="M309" s="66"/>
      <c r="N309" s="24"/>
      <c r="O309" s="62"/>
      <c r="P309" s="377"/>
      <c r="Q309" s="21"/>
      <c r="R309" s="383"/>
      <c r="S309" s="54"/>
      <c r="T309" s="47"/>
      <c r="U309" s="25"/>
      <c r="V309" s="175"/>
      <c r="W309" s="196"/>
      <c r="X309" s="16"/>
      <c r="Y309" s="17"/>
      <c r="Z309" s="18"/>
      <c r="AA309" s="394"/>
      <c r="AB309" s="260"/>
      <c r="AC309" s="200"/>
    </row>
    <row r="310" spans="1:29" s="20" customFormat="1" x14ac:dyDescent="0.3">
      <c r="A310" s="370">
        <v>45965</v>
      </c>
      <c r="B310" s="37"/>
      <c r="C310" s="14"/>
      <c r="D310" s="14"/>
      <c r="E310" s="14"/>
      <c r="F310" s="14"/>
      <c r="G310" s="58"/>
      <c r="H310" s="58"/>
      <c r="I310" s="60"/>
      <c r="J310" s="165"/>
      <c r="K310" s="14"/>
      <c r="L310" s="50"/>
      <c r="M310" s="66"/>
      <c r="N310" s="24"/>
      <c r="O310" s="62"/>
      <c r="P310" s="377"/>
      <c r="Q310" s="21"/>
      <c r="R310" s="383"/>
      <c r="S310" s="55"/>
      <c r="T310" s="48"/>
      <c r="U310" s="19"/>
      <c r="V310" s="175"/>
      <c r="W310" s="197"/>
      <c r="X310" s="16"/>
      <c r="Y310" s="17"/>
      <c r="Z310" s="18"/>
      <c r="AA310" s="394"/>
      <c r="AB310" s="260"/>
      <c r="AC310" s="200"/>
    </row>
    <row r="311" spans="1:29" s="20" customFormat="1" x14ac:dyDescent="0.3">
      <c r="A311" s="370">
        <v>45966</v>
      </c>
      <c r="B311" s="37"/>
      <c r="C311" s="14"/>
      <c r="D311" s="14"/>
      <c r="E311" s="14"/>
      <c r="F311" s="14"/>
      <c r="G311" s="50"/>
      <c r="H311" s="50"/>
      <c r="I311" s="60"/>
      <c r="J311" s="165"/>
      <c r="K311" s="14"/>
      <c r="L311" s="50"/>
      <c r="M311" s="66"/>
      <c r="N311" s="24"/>
      <c r="O311" s="62"/>
      <c r="P311" s="377"/>
      <c r="Q311" s="21"/>
      <c r="R311" s="383"/>
      <c r="S311" s="54"/>
      <c r="T311" s="47"/>
      <c r="U311" s="25"/>
      <c r="V311" s="175"/>
      <c r="W311" s="197"/>
      <c r="X311" s="16"/>
      <c r="Y311" s="17"/>
      <c r="Z311" s="18"/>
      <c r="AA311" s="394"/>
      <c r="AB311" s="260"/>
      <c r="AC311" s="200"/>
    </row>
    <row r="312" spans="1:29" s="20" customFormat="1" x14ac:dyDescent="0.3">
      <c r="A312" s="370">
        <v>45967</v>
      </c>
      <c r="B312" s="37"/>
      <c r="C312" s="14"/>
      <c r="D312" s="14"/>
      <c r="E312" s="14"/>
      <c r="F312" s="14"/>
      <c r="G312" s="50"/>
      <c r="H312" s="50"/>
      <c r="I312" s="60"/>
      <c r="J312" s="165"/>
      <c r="K312" s="14"/>
      <c r="L312" s="50"/>
      <c r="M312" s="66"/>
      <c r="N312" s="24"/>
      <c r="O312" s="62"/>
      <c r="P312" s="377"/>
      <c r="Q312" s="21"/>
      <c r="R312" s="383"/>
      <c r="S312" s="54"/>
      <c r="T312" s="47"/>
      <c r="U312" s="25"/>
      <c r="V312" s="175"/>
      <c r="W312" s="197"/>
      <c r="X312" s="16"/>
      <c r="Y312" s="17"/>
      <c r="Z312" s="18"/>
      <c r="AA312" s="394"/>
      <c r="AB312" s="260"/>
      <c r="AC312" s="200"/>
    </row>
    <row r="313" spans="1:29" s="20" customFormat="1" x14ac:dyDescent="0.3">
      <c r="A313" s="370">
        <v>45968</v>
      </c>
      <c r="B313" s="37"/>
      <c r="C313" s="14"/>
      <c r="D313" s="14"/>
      <c r="E313" s="14"/>
      <c r="F313" s="14"/>
      <c r="G313" s="50"/>
      <c r="H313" s="50"/>
      <c r="I313" s="60"/>
      <c r="J313" s="165"/>
      <c r="K313" s="14"/>
      <c r="L313" s="50"/>
      <c r="M313" s="66"/>
      <c r="N313" s="24"/>
      <c r="O313" s="62"/>
      <c r="P313" s="377"/>
      <c r="Q313" s="21"/>
      <c r="R313" s="383"/>
      <c r="S313" s="54"/>
      <c r="T313" s="47"/>
      <c r="U313" s="25"/>
      <c r="V313" s="175"/>
      <c r="W313" s="197"/>
      <c r="X313" s="16"/>
      <c r="Y313" s="17"/>
      <c r="Z313" s="18"/>
      <c r="AA313" s="394"/>
      <c r="AB313" s="260"/>
      <c r="AC313" s="200"/>
    </row>
    <row r="314" spans="1:29" s="20" customFormat="1" x14ac:dyDescent="0.3">
      <c r="A314" s="370">
        <v>45969</v>
      </c>
      <c r="B314" s="37"/>
      <c r="C314" s="14"/>
      <c r="D314" s="14"/>
      <c r="E314" s="14"/>
      <c r="F314" s="14"/>
      <c r="G314" s="50"/>
      <c r="H314" s="50"/>
      <c r="I314" s="60"/>
      <c r="J314" s="165"/>
      <c r="K314" s="14"/>
      <c r="L314" s="50"/>
      <c r="M314" s="66"/>
      <c r="N314" s="24"/>
      <c r="O314" s="62"/>
      <c r="P314" s="377"/>
      <c r="Q314" s="21"/>
      <c r="R314" s="383"/>
      <c r="S314" s="54"/>
      <c r="T314" s="47"/>
      <c r="U314" s="25"/>
      <c r="V314" s="175"/>
      <c r="W314" s="197"/>
      <c r="X314" s="16"/>
      <c r="Y314" s="17"/>
      <c r="Z314" s="18"/>
      <c r="AA314" s="394"/>
      <c r="AB314" s="260"/>
      <c r="AC314" s="200"/>
    </row>
    <row r="315" spans="1:29" s="20" customFormat="1" x14ac:dyDescent="0.3">
      <c r="A315" s="370">
        <v>45970</v>
      </c>
      <c r="B315" s="37"/>
      <c r="C315" s="14"/>
      <c r="D315" s="14"/>
      <c r="E315" s="14"/>
      <c r="F315" s="14"/>
      <c r="G315" s="50"/>
      <c r="H315" s="50"/>
      <c r="I315" s="60"/>
      <c r="J315" s="165"/>
      <c r="K315" s="14"/>
      <c r="L315" s="50"/>
      <c r="M315" s="66"/>
      <c r="N315" s="24"/>
      <c r="O315" s="62"/>
      <c r="P315" s="377"/>
      <c r="Q315" s="21"/>
      <c r="R315" s="383"/>
      <c r="S315" s="54"/>
      <c r="T315" s="47"/>
      <c r="U315" s="25"/>
      <c r="V315" s="175"/>
      <c r="W315" s="197"/>
      <c r="X315" s="16"/>
      <c r="Y315" s="17"/>
      <c r="Z315" s="18"/>
      <c r="AA315" s="394"/>
      <c r="AB315" s="260"/>
      <c r="AC315" s="200"/>
    </row>
    <row r="316" spans="1:29" s="20" customFormat="1" x14ac:dyDescent="0.3">
      <c r="A316" s="370">
        <v>45971</v>
      </c>
      <c r="B316" s="37"/>
      <c r="C316" s="14"/>
      <c r="D316" s="14"/>
      <c r="E316" s="14"/>
      <c r="F316" s="14"/>
      <c r="G316" s="50"/>
      <c r="H316" s="50"/>
      <c r="I316" s="60"/>
      <c r="J316" s="165"/>
      <c r="K316" s="14"/>
      <c r="L316" s="50"/>
      <c r="M316" s="66"/>
      <c r="N316" s="24"/>
      <c r="O316" s="62"/>
      <c r="P316" s="377"/>
      <c r="Q316" s="21"/>
      <c r="R316" s="383"/>
      <c r="S316" s="54"/>
      <c r="T316" s="47"/>
      <c r="U316" s="25"/>
      <c r="V316" s="175"/>
      <c r="W316" s="197"/>
      <c r="X316" s="16"/>
      <c r="Y316" s="17"/>
      <c r="Z316" s="18"/>
      <c r="AA316" s="394"/>
      <c r="AB316" s="260"/>
      <c r="AC316" s="200"/>
    </row>
    <row r="317" spans="1:29" s="20" customFormat="1" x14ac:dyDescent="0.3">
      <c r="A317" s="370">
        <v>45972</v>
      </c>
      <c r="B317" s="37"/>
      <c r="C317" s="14"/>
      <c r="D317" s="14"/>
      <c r="E317" s="14"/>
      <c r="F317" s="14"/>
      <c r="G317" s="50"/>
      <c r="H317" s="50"/>
      <c r="I317" s="60"/>
      <c r="J317" s="165"/>
      <c r="K317" s="14"/>
      <c r="L317" s="50"/>
      <c r="M317" s="66"/>
      <c r="N317" s="24"/>
      <c r="O317" s="62"/>
      <c r="P317" s="377"/>
      <c r="Q317" s="21"/>
      <c r="R317" s="383"/>
      <c r="S317" s="54"/>
      <c r="T317" s="47"/>
      <c r="U317" s="25"/>
      <c r="V317" s="175"/>
      <c r="W317" s="197"/>
      <c r="X317" s="16"/>
      <c r="Y317" s="17"/>
      <c r="Z317" s="18"/>
      <c r="AA317" s="394"/>
      <c r="AB317" s="260"/>
      <c r="AC317" s="200"/>
    </row>
    <row r="318" spans="1:29" s="20" customFormat="1" x14ac:dyDescent="0.3">
      <c r="A318" s="370">
        <v>45973</v>
      </c>
      <c r="B318" s="37"/>
      <c r="C318" s="14"/>
      <c r="D318" s="14"/>
      <c r="E318" s="14"/>
      <c r="F318" s="14"/>
      <c r="G318" s="50"/>
      <c r="H318" s="50"/>
      <c r="I318" s="60"/>
      <c r="J318" s="165"/>
      <c r="K318" s="14"/>
      <c r="L318" s="50"/>
      <c r="M318" s="66"/>
      <c r="N318" s="24"/>
      <c r="O318" s="62"/>
      <c r="P318" s="377"/>
      <c r="Q318" s="21"/>
      <c r="R318" s="383"/>
      <c r="S318" s="54"/>
      <c r="T318" s="47"/>
      <c r="U318" s="25"/>
      <c r="V318" s="175"/>
      <c r="W318" s="197"/>
      <c r="X318" s="16"/>
      <c r="Y318" s="17"/>
      <c r="Z318" s="18"/>
      <c r="AA318" s="394"/>
      <c r="AB318" s="260"/>
      <c r="AC318" s="200"/>
    </row>
    <row r="319" spans="1:29" s="20" customFormat="1" x14ac:dyDescent="0.3">
      <c r="A319" s="370">
        <v>45974</v>
      </c>
      <c r="B319" s="37"/>
      <c r="C319" s="14"/>
      <c r="D319" s="14"/>
      <c r="E319" s="14"/>
      <c r="F319" s="14"/>
      <c r="G319" s="50"/>
      <c r="H319" s="50"/>
      <c r="I319" s="60"/>
      <c r="J319" s="165"/>
      <c r="K319" s="14"/>
      <c r="L319" s="50"/>
      <c r="M319" s="66"/>
      <c r="N319" s="24"/>
      <c r="O319" s="62"/>
      <c r="P319" s="377"/>
      <c r="Q319" s="21"/>
      <c r="R319" s="383"/>
      <c r="S319" s="54"/>
      <c r="T319" s="47"/>
      <c r="U319" s="25"/>
      <c r="V319" s="175"/>
      <c r="W319" s="198"/>
      <c r="X319" s="26"/>
      <c r="Y319" s="27"/>
      <c r="Z319" s="28"/>
      <c r="AA319" s="396"/>
      <c r="AB319" s="261"/>
      <c r="AC319" s="200"/>
    </row>
    <row r="320" spans="1:29" s="20" customFormat="1" x14ac:dyDescent="0.3">
      <c r="A320" s="370">
        <v>45975</v>
      </c>
      <c r="B320" s="37"/>
      <c r="C320" s="14"/>
      <c r="D320" s="14"/>
      <c r="E320" s="14"/>
      <c r="F320" s="14"/>
      <c r="G320" s="50"/>
      <c r="H320" s="50"/>
      <c r="I320" s="60"/>
      <c r="J320" s="165"/>
      <c r="K320" s="14"/>
      <c r="L320" s="50"/>
      <c r="M320" s="66"/>
      <c r="N320" s="24"/>
      <c r="O320" s="62"/>
      <c r="P320" s="377"/>
      <c r="Q320" s="21"/>
      <c r="R320" s="383"/>
      <c r="S320" s="54"/>
      <c r="T320" s="47"/>
      <c r="U320" s="25"/>
      <c r="V320" s="175"/>
      <c r="W320" s="198"/>
      <c r="X320" s="26"/>
      <c r="Y320" s="27"/>
      <c r="Z320" s="28"/>
      <c r="AA320" s="396"/>
      <c r="AB320" s="261"/>
      <c r="AC320" s="200"/>
    </row>
    <row r="321" spans="1:29" s="20" customFormat="1" x14ac:dyDescent="0.3">
      <c r="A321" s="370">
        <v>45976</v>
      </c>
      <c r="B321" s="37"/>
      <c r="C321" s="14"/>
      <c r="D321" s="14"/>
      <c r="E321" s="14"/>
      <c r="F321" s="14"/>
      <c r="G321" s="50"/>
      <c r="H321" s="50"/>
      <c r="I321" s="60"/>
      <c r="J321" s="165"/>
      <c r="K321" s="14"/>
      <c r="L321" s="50"/>
      <c r="M321" s="66"/>
      <c r="N321" s="24"/>
      <c r="O321" s="62"/>
      <c r="P321" s="377"/>
      <c r="Q321" s="21"/>
      <c r="R321" s="383"/>
      <c r="S321" s="54"/>
      <c r="T321" s="47"/>
      <c r="U321" s="25"/>
      <c r="V321" s="175"/>
      <c r="W321" s="198"/>
      <c r="X321" s="26"/>
      <c r="Y321" s="27"/>
      <c r="Z321" s="28"/>
      <c r="AA321" s="396"/>
      <c r="AB321" s="261"/>
      <c r="AC321" s="200"/>
    </row>
    <row r="322" spans="1:29" s="20" customFormat="1" x14ac:dyDescent="0.3">
      <c r="A322" s="370">
        <v>45977</v>
      </c>
      <c r="B322" s="37"/>
      <c r="C322" s="14"/>
      <c r="D322" s="14"/>
      <c r="E322" s="14"/>
      <c r="F322" s="14"/>
      <c r="G322" s="50"/>
      <c r="H322" s="50"/>
      <c r="I322" s="60"/>
      <c r="J322" s="165"/>
      <c r="K322" s="14"/>
      <c r="L322" s="50"/>
      <c r="M322" s="66"/>
      <c r="N322" s="24"/>
      <c r="O322" s="62"/>
      <c r="P322" s="377"/>
      <c r="Q322" s="21"/>
      <c r="R322" s="383"/>
      <c r="S322" s="54"/>
      <c r="T322" s="47"/>
      <c r="U322" s="25"/>
      <c r="V322" s="175"/>
      <c r="W322" s="198"/>
      <c r="X322" s="26"/>
      <c r="Y322" s="27"/>
      <c r="Z322" s="28"/>
      <c r="AA322" s="396"/>
      <c r="AB322" s="261"/>
      <c r="AC322" s="200"/>
    </row>
    <row r="323" spans="1:29" s="20" customFormat="1" x14ac:dyDescent="0.3">
      <c r="A323" s="370">
        <v>45978</v>
      </c>
      <c r="B323" s="37"/>
      <c r="C323" s="14"/>
      <c r="D323" s="14"/>
      <c r="E323" s="14"/>
      <c r="F323" s="14"/>
      <c r="G323" s="50"/>
      <c r="H323" s="50"/>
      <c r="I323" s="60"/>
      <c r="J323" s="165"/>
      <c r="K323" s="14"/>
      <c r="L323" s="50"/>
      <c r="M323" s="66"/>
      <c r="N323" s="24"/>
      <c r="O323" s="62"/>
      <c r="P323" s="377"/>
      <c r="Q323" s="21"/>
      <c r="R323" s="383"/>
      <c r="S323" s="54"/>
      <c r="T323" s="47"/>
      <c r="U323" s="25"/>
      <c r="V323" s="175"/>
      <c r="W323" s="198"/>
      <c r="X323" s="26"/>
      <c r="Y323" s="27"/>
      <c r="Z323" s="28"/>
      <c r="AA323" s="396"/>
      <c r="AB323" s="261"/>
      <c r="AC323" s="200"/>
    </row>
    <row r="324" spans="1:29" s="20" customFormat="1" x14ac:dyDescent="0.3">
      <c r="A324" s="370">
        <v>45979</v>
      </c>
      <c r="B324" s="37"/>
      <c r="C324" s="14"/>
      <c r="D324" s="14"/>
      <c r="E324" s="14"/>
      <c r="F324" s="14"/>
      <c r="G324" s="50"/>
      <c r="H324" s="50"/>
      <c r="I324" s="60"/>
      <c r="J324" s="165"/>
      <c r="K324" s="14"/>
      <c r="L324" s="50"/>
      <c r="M324" s="66"/>
      <c r="N324" s="24"/>
      <c r="O324" s="62"/>
      <c r="P324" s="377"/>
      <c r="Q324" s="21"/>
      <c r="R324" s="383"/>
      <c r="S324" s="54"/>
      <c r="T324" s="47"/>
      <c r="U324" s="25"/>
      <c r="V324" s="175"/>
      <c r="W324" s="198"/>
      <c r="X324" s="26"/>
      <c r="Y324" s="27"/>
      <c r="Z324" s="28"/>
      <c r="AA324" s="396"/>
      <c r="AB324" s="261"/>
      <c r="AC324" s="200"/>
    </row>
    <row r="325" spans="1:29" s="20" customFormat="1" x14ac:dyDescent="0.3">
      <c r="A325" s="370">
        <v>45980</v>
      </c>
      <c r="B325" s="37"/>
      <c r="C325" s="14"/>
      <c r="D325" s="14"/>
      <c r="E325" s="14"/>
      <c r="F325" s="14"/>
      <c r="G325" s="50"/>
      <c r="H325" s="50"/>
      <c r="I325" s="60"/>
      <c r="J325" s="165"/>
      <c r="K325" s="14"/>
      <c r="L325" s="50"/>
      <c r="M325" s="66"/>
      <c r="N325" s="24"/>
      <c r="O325" s="62"/>
      <c r="P325" s="377"/>
      <c r="Q325" s="21"/>
      <c r="R325" s="383"/>
      <c r="S325" s="54"/>
      <c r="T325" s="47"/>
      <c r="U325" s="25"/>
      <c r="V325" s="175"/>
      <c r="W325" s="198"/>
      <c r="X325" s="26"/>
      <c r="Y325" s="27"/>
      <c r="Z325" s="28"/>
      <c r="AA325" s="396"/>
      <c r="AB325" s="261"/>
      <c r="AC325" s="200"/>
    </row>
    <row r="326" spans="1:29" s="20" customFormat="1" x14ac:dyDescent="0.3">
      <c r="A326" s="370">
        <v>45981</v>
      </c>
      <c r="B326" s="37"/>
      <c r="C326" s="14"/>
      <c r="D326" s="14"/>
      <c r="E326" s="14"/>
      <c r="F326" s="14"/>
      <c r="G326" s="50"/>
      <c r="H326" s="50"/>
      <c r="I326" s="60"/>
      <c r="J326" s="165"/>
      <c r="K326" s="14"/>
      <c r="L326" s="50"/>
      <c r="M326" s="66"/>
      <c r="N326" s="24"/>
      <c r="O326" s="62"/>
      <c r="P326" s="377"/>
      <c r="Q326" s="21"/>
      <c r="R326" s="383"/>
      <c r="S326" s="54"/>
      <c r="T326" s="47"/>
      <c r="U326" s="25"/>
      <c r="V326" s="175"/>
      <c r="W326" s="198"/>
      <c r="X326" s="26"/>
      <c r="Y326" s="27"/>
      <c r="Z326" s="28"/>
      <c r="AA326" s="396"/>
      <c r="AB326" s="261"/>
      <c r="AC326" s="200"/>
    </row>
    <row r="327" spans="1:29" s="20" customFormat="1" x14ac:dyDescent="0.3">
      <c r="A327" s="370">
        <v>45982</v>
      </c>
      <c r="B327" s="37"/>
      <c r="C327" s="14"/>
      <c r="D327" s="14"/>
      <c r="E327" s="14"/>
      <c r="F327" s="14"/>
      <c r="G327" s="50"/>
      <c r="H327" s="50"/>
      <c r="I327" s="60"/>
      <c r="J327" s="165"/>
      <c r="K327" s="14"/>
      <c r="L327" s="50"/>
      <c r="M327" s="66"/>
      <c r="N327" s="24"/>
      <c r="O327" s="62"/>
      <c r="P327" s="377"/>
      <c r="Q327" s="21"/>
      <c r="R327" s="383"/>
      <c r="S327" s="54"/>
      <c r="T327" s="47"/>
      <c r="U327" s="25"/>
      <c r="V327" s="175"/>
      <c r="W327" s="198"/>
      <c r="X327" s="26"/>
      <c r="Y327" s="27"/>
      <c r="Z327" s="28"/>
      <c r="AA327" s="396"/>
      <c r="AB327" s="261"/>
      <c r="AC327" s="200"/>
    </row>
    <row r="328" spans="1:29" s="20" customFormat="1" x14ac:dyDescent="0.3">
      <c r="A328" s="370">
        <v>45983</v>
      </c>
      <c r="B328" s="37"/>
      <c r="C328" s="14"/>
      <c r="D328" s="14"/>
      <c r="E328" s="14"/>
      <c r="F328" s="14"/>
      <c r="G328" s="50"/>
      <c r="H328" s="50"/>
      <c r="I328" s="60"/>
      <c r="J328" s="165"/>
      <c r="K328" s="14"/>
      <c r="L328" s="50"/>
      <c r="M328" s="66"/>
      <c r="N328" s="24"/>
      <c r="O328" s="62"/>
      <c r="P328" s="377"/>
      <c r="Q328" s="21"/>
      <c r="R328" s="383"/>
      <c r="S328" s="54"/>
      <c r="T328" s="47"/>
      <c r="U328" s="25"/>
      <c r="V328" s="175"/>
      <c r="W328" s="198"/>
      <c r="X328" s="26"/>
      <c r="Y328" s="27"/>
      <c r="Z328" s="28"/>
      <c r="AA328" s="396"/>
      <c r="AB328" s="261"/>
      <c r="AC328" s="200"/>
    </row>
    <row r="329" spans="1:29" s="20" customFormat="1" x14ac:dyDescent="0.3">
      <c r="A329" s="370">
        <v>45984</v>
      </c>
      <c r="B329" s="37"/>
      <c r="C329" s="14"/>
      <c r="D329" s="14"/>
      <c r="E329" s="14"/>
      <c r="F329" s="14"/>
      <c r="G329" s="50"/>
      <c r="H329" s="50"/>
      <c r="I329" s="60"/>
      <c r="J329" s="165"/>
      <c r="K329" s="14"/>
      <c r="L329" s="50"/>
      <c r="M329" s="66"/>
      <c r="N329" s="24"/>
      <c r="O329" s="62"/>
      <c r="P329" s="377"/>
      <c r="Q329" s="21"/>
      <c r="R329" s="383"/>
      <c r="S329" s="54"/>
      <c r="T329" s="47"/>
      <c r="U329" s="25"/>
      <c r="V329" s="175"/>
      <c r="W329" s="198"/>
      <c r="X329" s="26"/>
      <c r="Y329" s="27"/>
      <c r="Z329" s="28"/>
      <c r="AA329" s="396"/>
      <c r="AB329" s="261"/>
      <c r="AC329" s="200"/>
    </row>
    <row r="330" spans="1:29" s="20" customFormat="1" x14ac:dyDescent="0.3">
      <c r="A330" s="370">
        <v>45985</v>
      </c>
      <c r="B330" s="37"/>
      <c r="C330" s="14"/>
      <c r="D330" s="14"/>
      <c r="E330" s="14"/>
      <c r="F330" s="14"/>
      <c r="G330" s="50"/>
      <c r="H330" s="50"/>
      <c r="I330" s="60"/>
      <c r="J330" s="165"/>
      <c r="K330" s="14"/>
      <c r="L330" s="50"/>
      <c r="M330" s="66"/>
      <c r="N330" s="24"/>
      <c r="O330" s="62"/>
      <c r="P330" s="377"/>
      <c r="Q330" s="21"/>
      <c r="R330" s="383"/>
      <c r="S330" s="54"/>
      <c r="T330" s="47"/>
      <c r="U330" s="25"/>
      <c r="V330" s="175"/>
      <c r="W330" s="198"/>
      <c r="X330" s="26"/>
      <c r="Y330" s="27"/>
      <c r="Z330" s="28"/>
      <c r="AA330" s="396"/>
      <c r="AB330" s="261"/>
      <c r="AC330" s="200"/>
    </row>
    <row r="331" spans="1:29" s="20" customFormat="1" x14ac:dyDescent="0.3">
      <c r="A331" s="370">
        <v>45986</v>
      </c>
      <c r="B331" s="37"/>
      <c r="C331" s="14"/>
      <c r="D331" s="14"/>
      <c r="E331" s="14"/>
      <c r="F331" s="14"/>
      <c r="G331" s="50"/>
      <c r="H331" s="50"/>
      <c r="I331" s="60"/>
      <c r="J331" s="165"/>
      <c r="K331" s="14"/>
      <c r="L331" s="50"/>
      <c r="M331" s="66"/>
      <c r="N331" s="24"/>
      <c r="O331" s="62"/>
      <c r="P331" s="377"/>
      <c r="Q331" s="21"/>
      <c r="R331" s="383"/>
      <c r="S331" s="54"/>
      <c r="T331" s="47"/>
      <c r="U331" s="25"/>
      <c r="V331" s="175"/>
      <c r="W331" s="198"/>
      <c r="X331" s="26"/>
      <c r="Y331" s="27"/>
      <c r="Z331" s="28"/>
      <c r="AA331" s="396"/>
      <c r="AB331" s="261"/>
      <c r="AC331" s="200"/>
    </row>
    <row r="332" spans="1:29" s="20" customFormat="1" x14ac:dyDescent="0.3">
      <c r="A332" s="370">
        <v>45987</v>
      </c>
      <c r="B332" s="37"/>
      <c r="C332" s="14"/>
      <c r="D332" s="14"/>
      <c r="E332" s="14"/>
      <c r="F332" s="14"/>
      <c r="G332" s="50"/>
      <c r="H332" s="50"/>
      <c r="I332" s="60"/>
      <c r="J332" s="165"/>
      <c r="K332" s="14"/>
      <c r="L332" s="50"/>
      <c r="M332" s="66"/>
      <c r="N332" s="24"/>
      <c r="O332" s="62"/>
      <c r="P332" s="377"/>
      <c r="Q332" s="21"/>
      <c r="R332" s="383"/>
      <c r="S332" s="54"/>
      <c r="T332" s="47"/>
      <c r="U332" s="25"/>
      <c r="V332" s="175"/>
      <c r="W332" s="198"/>
      <c r="X332" s="26"/>
      <c r="Y332" s="27"/>
      <c r="Z332" s="28"/>
      <c r="AA332" s="396"/>
      <c r="AB332" s="261"/>
      <c r="AC332" s="200"/>
    </row>
    <row r="333" spans="1:29" s="20" customFormat="1" x14ac:dyDescent="0.3">
      <c r="A333" s="370">
        <v>45988</v>
      </c>
      <c r="B333" s="37"/>
      <c r="C333" s="14"/>
      <c r="D333" s="14"/>
      <c r="E333" s="14"/>
      <c r="F333" s="14"/>
      <c r="G333" s="50"/>
      <c r="H333" s="50"/>
      <c r="I333" s="60"/>
      <c r="J333" s="165"/>
      <c r="K333" s="14"/>
      <c r="L333" s="50"/>
      <c r="M333" s="66"/>
      <c r="N333" s="24"/>
      <c r="O333" s="62"/>
      <c r="P333" s="377"/>
      <c r="Q333" s="21"/>
      <c r="R333" s="383"/>
      <c r="S333" s="54"/>
      <c r="T333" s="47"/>
      <c r="U333" s="25"/>
      <c r="V333" s="175"/>
      <c r="W333" s="198"/>
      <c r="X333" s="26"/>
      <c r="Y333" s="27"/>
      <c r="Z333" s="28"/>
      <c r="AA333" s="396"/>
      <c r="AB333" s="261"/>
      <c r="AC333" s="200"/>
    </row>
    <row r="334" spans="1:29" s="20" customFormat="1" x14ac:dyDescent="0.3">
      <c r="A334" s="370">
        <v>45989</v>
      </c>
      <c r="B334" s="37"/>
      <c r="C334" s="14"/>
      <c r="D334" s="14"/>
      <c r="E334" s="14"/>
      <c r="F334" s="14"/>
      <c r="G334" s="50"/>
      <c r="H334" s="50"/>
      <c r="I334" s="60"/>
      <c r="J334" s="165"/>
      <c r="K334" s="14"/>
      <c r="L334" s="50"/>
      <c r="M334" s="66"/>
      <c r="N334" s="24"/>
      <c r="O334" s="62"/>
      <c r="P334" s="377"/>
      <c r="Q334" s="21"/>
      <c r="R334" s="383"/>
      <c r="S334" s="54"/>
      <c r="T334" s="47"/>
      <c r="U334" s="25"/>
      <c r="V334" s="175"/>
      <c r="W334" s="198"/>
      <c r="X334" s="26"/>
      <c r="Y334" s="27"/>
      <c r="Z334" s="28"/>
      <c r="AA334" s="396"/>
      <c r="AB334" s="261"/>
      <c r="AC334" s="200"/>
    </row>
    <row r="335" spans="1:29" s="20" customFormat="1" x14ac:dyDescent="0.3">
      <c r="A335" s="370">
        <v>45990</v>
      </c>
      <c r="B335" s="37"/>
      <c r="C335" s="14"/>
      <c r="D335" s="14"/>
      <c r="E335" s="14"/>
      <c r="F335" s="14"/>
      <c r="G335" s="50"/>
      <c r="H335" s="50"/>
      <c r="I335" s="60"/>
      <c r="J335" s="165"/>
      <c r="K335" s="14"/>
      <c r="L335" s="50"/>
      <c r="M335" s="66"/>
      <c r="N335" s="24"/>
      <c r="O335" s="62"/>
      <c r="P335" s="377"/>
      <c r="Q335" s="21"/>
      <c r="R335" s="383"/>
      <c r="S335" s="54"/>
      <c r="T335" s="47"/>
      <c r="U335" s="25"/>
      <c r="V335" s="175"/>
      <c r="W335" s="198"/>
      <c r="X335" s="26"/>
      <c r="Y335" s="27"/>
      <c r="Z335" s="28"/>
      <c r="AA335" s="396"/>
      <c r="AB335" s="261"/>
      <c r="AC335" s="200"/>
    </row>
    <row r="336" spans="1:29" s="257" customFormat="1" ht="15" thickBot="1" x14ac:dyDescent="0.35">
      <c r="A336" s="370">
        <v>45991</v>
      </c>
      <c r="B336" s="38"/>
      <c r="C336" s="22"/>
      <c r="D336" s="22"/>
      <c r="E336" s="22"/>
      <c r="F336" s="22"/>
      <c r="G336" s="50"/>
      <c r="H336" s="50"/>
      <c r="I336" s="61"/>
      <c r="J336" s="166"/>
      <c r="K336" s="22"/>
      <c r="L336" s="256"/>
      <c r="M336" s="67"/>
      <c r="N336" s="52"/>
      <c r="O336" s="63"/>
      <c r="P336" s="381"/>
      <c r="Q336" s="53"/>
      <c r="R336" s="388"/>
      <c r="S336" s="56"/>
      <c r="T336" s="49"/>
      <c r="U336" s="39"/>
      <c r="V336" s="176"/>
      <c r="W336" s="199"/>
      <c r="X336" s="26"/>
      <c r="Y336" s="27"/>
      <c r="Z336" s="28"/>
      <c r="AA336" s="396"/>
      <c r="AB336" s="262"/>
      <c r="AC336" s="404"/>
    </row>
    <row r="337" spans="1:28" s="337" customFormat="1" x14ac:dyDescent="0.3">
      <c r="A337" s="370">
        <v>45992</v>
      </c>
      <c r="B337" s="313"/>
      <c r="C337" s="314"/>
      <c r="D337" s="314"/>
      <c r="E337" s="314"/>
      <c r="F337" s="314"/>
      <c r="G337" s="315"/>
      <c r="H337" s="315"/>
      <c r="I337" s="316"/>
      <c r="J337" s="336"/>
      <c r="K337" s="314"/>
      <c r="L337" s="315"/>
      <c r="M337" s="317"/>
      <c r="N337" s="318"/>
      <c r="O337" s="319"/>
      <c r="P337" s="380"/>
      <c r="Q337" s="320"/>
      <c r="R337" s="386"/>
      <c r="S337" s="290"/>
      <c r="T337" s="321"/>
      <c r="U337" s="291"/>
      <c r="V337" s="292"/>
      <c r="W337" s="335"/>
      <c r="X337" s="84"/>
      <c r="Y337" s="85"/>
      <c r="Z337" s="86"/>
      <c r="AA337" s="393"/>
      <c r="AB337" s="325"/>
    </row>
    <row r="338" spans="1:28" x14ac:dyDescent="0.3">
      <c r="A338" s="370">
        <v>45993</v>
      </c>
      <c r="B338" s="37"/>
      <c r="C338" s="14"/>
      <c r="D338" s="14"/>
      <c r="E338" s="14"/>
      <c r="F338" s="14"/>
      <c r="G338" s="58"/>
      <c r="H338" s="58"/>
      <c r="I338" s="60"/>
      <c r="J338" s="165"/>
      <c r="K338" s="14"/>
      <c r="L338" s="50"/>
      <c r="M338" s="66"/>
      <c r="N338" s="24"/>
      <c r="O338" s="62"/>
      <c r="P338" s="377"/>
      <c r="Q338" s="21"/>
      <c r="R338" s="383"/>
      <c r="S338" s="54"/>
      <c r="T338" s="47"/>
      <c r="U338" s="25"/>
      <c r="V338" s="175"/>
      <c r="W338" s="196"/>
      <c r="X338" s="16"/>
      <c r="Y338" s="17"/>
      <c r="Z338" s="18"/>
      <c r="AA338" s="394"/>
      <c r="AB338" s="260"/>
    </row>
    <row r="339" spans="1:28" x14ac:dyDescent="0.3">
      <c r="A339" s="370">
        <v>45994</v>
      </c>
      <c r="B339" s="37"/>
      <c r="C339" s="14"/>
      <c r="D339" s="14"/>
      <c r="E339" s="14"/>
      <c r="F339" s="14"/>
      <c r="G339" s="58"/>
      <c r="H339" s="58"/>
      <c r="I339" s="60"/>
      <c r="J339" s="165"/>
      <c r="K339" s="14"/>
      <c r="L339" s="50"/>
      <c r="M339" s="66"/>
      <c r="N339" s="24"/>
      <c r="O339" s="62"/>
      <c r="P339" s="377"/>
      <c r="Q339" s="21"/>
      <c r="R339" s="383"/>
      <c r="S339" s="54"/>
      <c r="T339" s="47"/>
      <c r="U339" s="25"/>
      <c r="V339" s="175"/>
      <c r="W339" s="196"/>
      <c r="X339" s="16"/>
      <c r="Y339" s="17"/>
      <c r="Z339" s="18"/>
      <c r="AA339" s="394"/>
      <c r="AB339" s="260"/>
    </row>
    <row r="340" spans="1:28" x14ac:dyDescent="0.3">
      <c r="A340" s="370">
        <v>45995</v>
      </c>
      <c r="B340" s="37"/>
      <c r="C340" s="14"/>
      <c r="D340" s="14"/>
      <c r="E340" s="14"/>
      <c r="F340" s="14"/>
      <c r="G340" s="58"/>
      <c r="H340" s="58"/>
      <c r="I340" s="60"/>
      <c r="J340" s="165"/>
      <c r="K340" s="14"/>
      <c r="L340" s="50"/>
      <c r="M340" s="66"/>
      <c r="N340" s="24"/>
      <c r="O340" s="62"/>
      <c r="P340" s="377"/>
      <c r="Q340" s="21"/>
      <c r="R340" s="383"/>
      <c r="S340" s="55"/>
      <c r="T340" s="48"/>
      <c r="U340" s="19"/>
      <c r="V340" s="175"/>
      <c r="W340" s="197"/>
      <c r="X340" s="16"/>
      <c r="Y340" s="17"/>
      <c r="Z340" s="18"/>
      <c r="AA340" s="394"/>
      <c r="AB340" s="260"/>
    </row>
    <row r="341" spans="1:28" x14ac:dyDescent="0.3">
      <c r="A341" s="370">
        <v>45996</v>
      </c>
      <c r="B341" s="37"/>
      <c r="C341" s="14"/>
      <c r="D341" s="14"/>
      <c r="E341" s="14"/>
      <c r="F341" s="14"/>
      <c r="G341" s="58"/>
      <c r="H341" s="58"/>
      <c r="I341" s="60"/>
      <c r="J341" s="165"/>
      <c r="K341" s="14"/>
      <c r="L341" s="50"/>
      <c r="M341" s="66"/>
      <c r="N341" s="24"/>
      <c r="O341" s="62"/>
      <c r="P341" s="377"/>
      <c r="Q341" s="21"/>
      <c r="R341" s="383"/>
      <c r="S341" s="54"/>
      <c r="T341" s="47"/>
      <c r="U341" s="25"/>
      <c r="V341" s="175"/>
      <c r="W341" s="197"/>
      <c r="X341" s="16"/>
      <c r="Y341" s="17"/>
      <c r="Z341" s="18"/>
      <c r="AA341" s="394"/>
      <c r="AB341" s="260"/>
    </row>
    <row r="342" spans="1:28" x14ac:dyDescent="0.3">
      <c r="A342" s="370">
        <v>45997</v>
      </c>
      <c r="B342" s="37"/>
      <c r="C342" s="14"/>
      <c r="D342" s="14"/>
      <c r="E342" s="14"/>
      <c r="F342" s="14"/>
      <c r="G342" s="58"/>
      <c r="H342" s="58"/>
      <c r="I342" s="60"/>
      <c r="J342" s="165"/>
      <c r="K342" s="14"/>
      <c r="L342" s="50"/>
      <c r="M342" s="66"/>
      <c r="N342" s="24"/>
      <c r="O342" s="62"/>
      <c r="P342" s="377"/>
      <c r="Q342" s="21"/>
      <c r="R342" s="383"/>
      <c r="S342" s="54"/>
      <c r="T342" s="47"/>
      <c r="U342" s="25"/>
      <c r="V342" s="175"/>
      <c r="W342" s="197"/>
      <c r="X342" s="16"/>
      <c r="Y342" s="17"/>
      <c r="Z342" s="18"/>
      <c r="AA342" s="394"/>
      <c r="AB342" s="260"/>
    </row>
    <row r="343" spans="1:28" x14ac:dyDescent="0.3">
      <c r="A343" s="370">
        <v>45998</v>
      </c>
      <c r="B343" s="37"/>
      <c r="C343" s="14"/>
      <c r="D343" s="14"/>
      <c r="E343" s="14"/>
      <c r="F343" s="14"/>
      <c r="G343" s="58"/>
      <c r="H343" s="58"/>
      <c r="I343" s="60"/>
      <c r="J343" s="165"/>
      <c r="K343" s="14"/>
      <c r="L343" s="50"/>
      <c r="M343" s="66"/>
      <c r="N343" s="24"/>
      <c r="O343" s="62"/>
      <c r="P343" s="377"/>
      <c r="Q343" s="21"/>
      <c r="R343" s="383"/>
      <c r="S343" s="54"/>
      <c r="T343" s="47"/>
      <c r="U343" s="25"/>
      <c r="V343" s="175"/>
      <c r="W343" s="197"/>
      <c r="X343" s="16"/>
      <c r="Y343" s="17"/>
      <c r="Z343" s="18"/>
      <c r="AA343" s="394"/>
      <c r="AB343" s="260"/>
    </row>
    <row r="344" spans="1:28" x14ac:dyDescent="0.3">
      <c r="A344" s="370">
        <v>45999</v>
      </c>
      <c r="B344" s="37"/>
      <c r="C344" s="14"/>
      <c r="D344" s="14"/>
      <c r="E344" s="14"/>
      <c r="F344" s="14"/>
      <c r="G344" s="58"/>
      <c r="H344" s="58"/>
      <c r="I344" s="60"/>
      <c r="J344" s="165"/>
      <c r="K344" s="14"/>
      <c r="L344" s="50"/>
      <c r="M344" s="66"/>
      <c r="N344" s="24"/>
      <c r="O344" s="62"/>
      <c r="P344" s="377"/>
      <c r="Q344" s="21"/>
      <c r="R344" s="383"/>
      <c r="S344" s="54"/>
      <c r="T344" s="47"/>
      <c r="U344" s="25"/>
      <c r="V344" s="175"/>
      <c r="W344" s="197"/>
      <c r="X344" s="16"/>
      <c r="Y344" s="17"/>
      <c r="Z344" s="18"/>
      <c r="AA344" s="394"/>
      <c r="AB344" s="260"/>
    </row>
    <row r="345" spans="1:28" x14ac:dyDescent="0.3">
      <c r="A345" s="370">
        <v>46000</v>
      </c>
      <c r="B345" s="37"/>
      <c r="C345" s="14"/>
      <c r="D345" s="14"/>
      <c r="E345" s="14"/>
      <c r="F345" s="14"/>
      <c r="G345" s="58"/>
      <c r="H345" s="58"/>
      <c r="I345" s="60"/>
      <c r="J345" s="165"/>
      <c r="K345" s="14"/>
      <c r="L345" s="50"/>
      <c r="M345" s="66"/>
      <c r="N345" s="24"/>
      <c r="O345" s="62"/>
      <c r="P345" s="377"/>
      <c r="Q345" s="21"/>
      <c r="R345" s="383"/>
      <c r="S345" s="54"/>
      <c r="T345" s="47"/>
      <c r="U345" s="25"/>
      <c r="V345" s="175"/>
      <c r="W345" s="197"/>
      <c r="X345" s="16"/>
      <c r="Y345" s="17"/>
      <c r="Z345" s="18"/>
      <c r="AA345" s="394"/>
      <c r="AB345" s="260"/>
    </row>
    <row r="346" spans="1:28" x14ac:dyDescent="0.3">
      <c r="A346" s="370">
        <v>46001</v>
      </c>
      <c r="B346" s="37"/>
      <c r="C346" s="14"/>
      <c r="D346" s="14"/>
      <c r="E346" s="14"/>
      <c r="F346" s="14"/>
      <c r="G346" s="58"/>
      <c r="H346" s="58"/>
      <c r="I346" s="60"/>
      <c r="J346" s="165"/>
      <c r="K346" s="14"/>
      <c r="L346" s="50"/>
      <c r="M346" s="66"/>
      <c r="N346" s="24"/>
      <c r="O346" s="62"/>
      <c r="P346" s="377"/>
      <c r="Q346" s="21"/>
      <c r="R346" s="383"/>
      <c r="S346" s="54"/>
      <c r="T346" s="47"/>
      <c r="U346" s="25"/>
      <c r="V346" s="175"/>
      <c r="W346" s="197"/>
      <c r="X346" s="16"/>
      <c r="Y346" s="17"/>
      <c r="Z346" s="18"/>
      <c r="AA346" s="394"/>
      <c r="AB346" s="260"/>
    </row>
    <row r="347" spans="1:28" x14ac:dyDescent="0.3">
      <c r="A347" s="370">
        <v>46002</v>
      </c>
      <c r="B347" s="37"/>
      <c r="C347" s="14"/>
      <c r="D347" s="14"/>
      <c r="E347" s="14"/>
      <c r="F347" s="14"/>
      <c r="G347" s="58"/>
      <c r="H347" s="58"/>
      <c r="I347" s="60"/>
      <c r="J347" s="165"/>
      <c r="K347" s="14"/>
      <c r="L347" s="50"/>
      <c r="M347" s="66"/>
      <c r="N347" s="24"/>
      <c r="O347" s="62"/>
      <c r="P347" s="377"/>
      <c r="Q347" s="21"/>
      <c r="R347" s="383"/>
      <c r="S347" s="54"/>
      <c r="T347" s="47"/>
      <c r="U347" s="25"/>
      <c r="V347" s="175"/>
      <c r="W347" s="197"/>
      <c r="X347" s="16"/>
      <c r="Y347" s="17"/>
      <c r="Z347" s="18"/>
      <c r="AA347" s="394"/>
      <c r="AB347" s="260"/>
    </row>
    <row r="348" spans="1:28" x14ac:dyDescent="0.3">
      <c r="A348" s="370">
        <v>46003</v>
      </c>
      <c r="B348" s="37"/>
      <c r="C348" s="14"/>
      <c r="D348" s="14"/>
      <c r="E348" s="14"/>
      <c r="F348" s="14"/>
      <c r="G348" s="58"/>
      <c r="H348" s="58"/>
      <c r="I348" s="60"/>
      <c r="J348" s="165"/>
      <c r="K348" s="14"/>
      <c r="L348" s="50"/>
      <c r="M348" s="66"/>
      <c r="N348" s="24"/>
      <c r="O348" s="62"/>
      <c r="P348" s="377"/>
      <c r="Q348" s="21"/>
      <c r="R348" s="383"/>
      <c r="S348" s="54"/>
      <c r="T348" s="47"/>
      <c r="U348" s="25"/>
      <c r="V348" s="175"/>
      <c r="W348" s="197"/>
      <c r="X348" s="16"/>
      <c r="Y348" s="17"/>
      <c r="Z348" s="18"/>
      <c r="AA348" s="394"/>
      <c r="AB348" s="260"/>
    </row>
    <row r="349" spans="1:28" x14ac:dyDescent="0.3">
      <c r="A349" s="370">
        <v>46004</v>
      </c>
      <c r="B349" s="37"/>
      <c r="C349" s="14"/>
      <c r="D349" s="14"/>
      <c r="E349" s="14"/>
      <c r="F349" s="14"/>
      <c r="G349" s="58"/>
      <c r="H349" s="58"/>
      <c r="I349" s="60"/>
      <c r="J349" s="165"/>
      <c r="K349" s="14"/>
      <c r="L349" s="50"/>
      <c r="M349" s="66"/>
      <c r="N349" s="24"/>
      <c r="O349" s="62"/>
      <c r="P349" s="377"/>
      <c r="Q349" s="21"/>
      <c r="R349" s="383"/>
      <c r="S349" s="54"/>
      <c r="T349" s="47"/>
      <c r="U349" s="25"/>
      <c r="V349" s="175"/>
      <c r="W349" s="198"/>
      <c r="X349" s="26"/>
      <c r="Y349" s="27"/>
      <c r="Z349" s="28"/>
      <c r="AA349" s="396"/>
      <c r="AB349" s="261"/>
    </row>
    <row r="350" spans="1:28" x14ac:dyDescent="0.3">
      <c r="A350" s="370">
        <v>46005</v>
      </c>
      <c r="B350" s="37"/>
      <c r="C350" s="14"/>
      <c r="D350" s="14"/>
      <c r="E350" s="14"/>
      <c r="F350" s="14"/>
      <c r="G350" s="58"/>
      <c r="H350" s="58"/>
      <c r="I350" s="60"/>
      <c r="J350" s="165"/>
      <c r="K350" s="14"/>
      <c r="L350" s="50"/>
      <c r="M350" s="66"/>
      <c r="N350" s="24"/>
      <c r="O350" s="62"/>
      <c r="P350" s="377"/>
      <c r="Q350" s="21"/>
      <c r="R350" s="383"/>
      <c r="S350" s="54"/>
      <c r="T350" s="47"/>
      <c r="U350" s="25"/>
      <c r="V350" s="175"/>
      <c r="W350" s="198"/>
      <c r="X350" s="26"/>
      <c r="Y350" s="27"/>
      <c r="Z350" s="28"/>
      <c r="AA350" s="396"/>
      <c r="AB350" s="261"/>
    </row>
    <row r="351" spans="1:28" x14ac:dyDescent="0.3">
      <c r="A351" s="370">
        <v>46006</v>
      </c>
      <c r="B351" s="37"/>
      <c r="C351" s="14"/>
      <c r="D351" s="14"/>
      <c r="E351" s="14"/>
      <c r="F351" s="14"/>
      <c r="G351" s="58"/>
      <c r="H351" s="58"/>
      <c r="I351" s="60"/>
      <c r="J351" s="165"/>
      <c r="K351" s="14"/>
      <c r="L351" s="50"/>
      <c r="M351" s="66"/>
      <c r="N351" s="24"/>
      <c r="O351" s="62"/>
      <c r="P351" s="377"/>
      <c r="Q351" s="21"/>
      <c r="R351" s="383"/>
      <c r="S351" s="54"/>
      <c r="T351" s="47"/>
      <c r="U351" s="25"/>
      <c r="V351" s="175"/>
      <c r="W351" s="198"/>
      <c r="X351" s="26"/>
      <c r="Y351" s="27"/>
      <c r="Z351" s="28"/>
      <c r="AA351" s="396"/>
      <c r="AB351" s="261"/>
    </row>
    <row r="352" spans="1:28" x14ac:dyDescent="0.3">
      <c r="A352" s="370">
        <v>46007</v>
      </c>
      <c r="B352" s="37"/>
      <c r="C352" s="14"/>
      <c r="D352" s="14"/>
      <c r="E352" s="14"/>
      <c r="F352" s="14"/>
      <c r="G352" s="58"/>
      <c r="H352" s="58"/>
      <c r="I352" s="60"/>
      <c r="J352" s="165"/>
      <c r="K352" s="14"/>
      <c r="L352" s="50"/>
      <c r="M352" s="66"/>
      <c r="N352" s="24"/>
      <c r="O352" s="62"/>
      <c r="P352" s="377"/>
      <c r="Q352" s="21"/>
      <c r="R352" s="383"/>
      <c r="S352" s="54"/>
      <c r="T352" s="47"/>
      <c r="U352" s="25"/>
      <c r="V352" s="175"/>
      <c r="W352" s="198"/>
      <c r="X352" s="26"/>
      <c r="Y352" s="27"/>
      <c r="Z352" s="28"/>
      <c r="AA352" s="396"/>
      <c r="AB352" s="261"/>
    </row>
    <row r="353" spans="1:28" x14ac:dyDescent="0.3">
      <c r="A353" s="370">
        <v>46008</v>
      </c>
      <c r="B353" s="37"/>
      <c r="C353" s="14"/>
      <c r="D353" s="14"/>
      <c r="E353" s="14"/>
      <c r="F353" s="14"/>
      <c r="G353" s="58"/>
      <c r="H353" s="58"/>
      <c r="I353" s="60"/>
      <c r="J353" s="165"/>
      <c r="K353" s="14"/>
      <c r="L353" s="50"/>
      <c r="M353" s="66"/>
      <c r="N353" s="24"/>
      <c r="O353" s="62"/>
      <c r="P353" s="377"/>
      <c r="Q353" s="21"/>
      <c r="R353" s="383"/>
      <c r="S353" s="54"/>
      <c r="T353" s="47"/>
      <c r="U353" s="25"/>
      <c r="V353" s="175"/>
      <c r="W353" s="198"/>
      <c r="X353" s="26"/>
      <c r="Y353" s="27"/>
      <c r="Z353" s="28"/>
      <c r="AA353" s="396"/>
      <c r="AB353" s="261"/>
    </row>
    <row r="354" spans="1:28" x14ac:dyDescent="0.3">
      <c r="A354" s="370">
        <v>46009</v>
      </c>
      <c r="B354" s="37"/>
      <c r="C354" s="14"/>
      <c r="D354" s="14"/>
      <c r="E354" s="14"/>
      <c r="F354" s="14"/>
      <c r="G354" s="58"/>
      <c r="H354" s="58"/>
      <c r="I354" s="60"/>
      <c r="J354" s="165"/>
      <c r="K354" s="14"/>
      <c r="L354" s="50"/>
      <c r="M354" s="66"/>
      <c r="N354" s="24"/>
      <c r="O354" s="62"/>
      <c r="P354" s="377"/>
      <c r="Q354" s="21"/>
      <c r="R354" s="383"/>
      <c r="S354" s="54"/>
      <c r="T354" s="47"/>
      <c r="U354" s="25"/>
      <c r="V354" s="175"/>
      <c r="W354" s="198"/>
      <c r="X354" s="26"/>
      <c r="Y354" s="27"/>
      <c r="Z354" s="28"/>
      <c r="AA354" s="396"/>
      <c r="AB354" s="261"/>
    </row>
    <row r="355" spans="1:28" x14ac:dyDescent="0.3">
      <c r="A355" s="370">
        <v>46010</v>
      </c>
      <c r="B355" s="37"/>
      <c r="C355" s="14"/>
      <c r="D355" s="14"/>
      <c r="E355" s="14"/>
      <c r="F355" s="14"/>
      <c r="G355" s="58"/>
      <c r="H355" s="58"/>
      <c r="I355" s="60"/>
      <c r="J355" s="165"/>
      <c r="K355" s="14"/>
      <c r="L355" s="50"/>
      <c r="M355" s="66"/>
      <c r="N355" s="24"/>
      <c r="O355" s="62"/>
      <c r="P355" s="377"/>
      <c r="Q355" s="21"/>
      <c r="R355" s="383"/>
      <c r="S355" s="54"/>
      <c r="T355" s="47"/>
      <c r="U355" s="25"/>
      <c r="V355" s="175"/>
      <c r="W355" s="198"/>
      <c r="X355" s="26"/>
      <c r="Y355" s="27"/>
      <c r="Z355" s="28"/>
      <c r="AA355" s="396"/>
      <c r="AB355" s="261"/>
    </row>
    <row r="356" spans="1:28" x14ac:dyDescent="0.3">
      <c r="A356" s="370">
        <v>46011</v>
      </c>
      <c r="B356" s="37"/>
      <c r="C356" s="14"/>
      <c r="D356" s="14"/>
      <c r="E356" s="14"/>
      <c r="F356" s="14"/>
      <c r="G356" s="58"/>
      <c r="H356" s="58"/>
      <c r="I356" s="60"/>
      <c r="J356" s="165"/>
      <c r="K356" s="14"/>
      <c r="L356" s="50"/>
      <c r="M356" s="66"/>
      <c r="N356" s="24"/>
      <c r="O356" s="62"/>
      <c r="P356" s="377"/>
      <c r="Q356" s="21"/>
      <c r="R356" s="383"/>
      <c r="S356" s="54"/>
      <c r="T356" s="47"/>
      <c r="U356" s="25"/>
      <c r="V356" s="175"/>
      <c r="W356" s="198"/>
      <c r="X356" s="26"/>
      <c r="Y356" s="27"/>
      <c r="Z356" s="28"/>
      <c r="AA356" s="396"/>
      <c r="AB356" s="261"/>
    </row>
    <row r="357" spans="1:28" x14ac:dyDescent="0.3">
      <c r="A357" s="370">
        <v>46012</v>
      </c>
      <c r="B357" s="37"/>
      <c r="C357" s="14"/>
      <c r="D357" s="14"/>
      <c r="E357" s="14"/>
      <c r="F357" s="14"/>
      <c r="G357" s="58"/>
      <c r="H357" s="58"/>
      <c r="I357" s="60"/>
      <c r="J357" s="165"/>
      <c r="K357" s="14"/>
      <c r="L357" s="50"/>
      <c r="M357" s="66"/>
      <c r="N357" s="24"/>
      <c r="O357" s="62"/>
      <c r="P357" s="377"/>
      <c r="Q357" s="21"/>
      <c r="R357" s="383"/>
      <c r="S357" s="54"/>
      <c r="T357" s="47"/>
      <c r="U357" s="25"/>
      <c r="V357" s="175"/>
      <c r="W357" s="198"/>
      <c r="X357" s="26"/>
      <c r="Y357" s="27"/>
      <c r="Z357" s="28"/>
      <c r="AA357" s="396"/>
      <c r="AB357" s="261"/>
    </row>
    <row r="358" spans="1:28" x14ac:dyDescent="0.3">
      <c r="A358" s="370">
        <v>46013</v>
      </c>
      <c r="B358" s="37"/>
      <c r="C358" s="14"/>
      <c r="D358" s="14"/>
      <c r="E358" s="14"/>
      <c r="F358" s="14"/>
      <c r="G358" s="58"/>
      <c r="H358" s="58"/>
      <c r="I358" s="60"/>
      <c r="J358" s="165"/>
      <c r="K358" s="14"/>
      <c r="L358" s="50"/>
      <c r="M358" s="66"/>
      <c r="N358" s="24"/>
      <c r="O358" s="62"/>
      <c r="P358" s="377"/>
      <c r="Q358" s="21"/>
      <c r="R358" s="383"/>
      <c r="S358" s="54"/>
      <c r="T358" s="47"/>
      <c r="U358" s="25"/>
      <c r="V358" s="175"/>
      <c r="W358" s="198"/>
      <c r="X358" s="26"/>
      <c r="Y358" s="27"/>
      <c r="Z358" s="28"/>
      <c r="AA358" s="396"/>
      <c r="AB358" s="261"/>
    </row>
    <row r="359" spans="1:28" x14ac:dyDescent="0.3">
      <c r="A359" s="370">
        <v>46014</v>
      </c>
      <c r="B359" s="37"/>
      <c r="C359" s="14"/>
      <c r="D359" s="14"/>
      <c r="E359" s="14"/>
      <c r="F359" s="14"/>
      <c r="G359" s="58"/>
      <c r="H359" s="58"/>
      <c r="I359" s="60"/>
      <c r="J359" s="165"/>
      <c r="K359" s="14"/>
      <c r="L359" s="50"/>
      <c r="M359" s="66"/>
      <c r="N359" s="24"/>
      <c r="O359" s="62"/>
      <c r="P359" s="377"/>
      <c r="Q359" s="21"/>
      <c r="R359" s="383"/>
      <c r="S359" s="54"/>
      <c r="T359" s="47"/>
      <c r="U359" s="25"/>
      <c r="V359" s="175"/>
      <c r="W359" s="198"/>
      <c r="X359" s="26"/>
      <c r="Y359" s="27"/>
      <c r="Z359" s="28"/>
      <c r="AA359" s="396"/>
      <c r="AB359" s="261"/>
    </row>
    <row r="360" spans="1:28" x14ac:dyDescent="0.3">
      <c r="A360" s="370">
        <v>46015</v>
      </c>
      <c r="B360" s="37"/>
      <c r="C360" s="14"/>
      <c r="D360" s="14"/>
      <c r="E360" s="14"/>
      <c r="F360" s="14"/>
      <c r="G360" s="58"/>
      <c r="H360" s="58"/>
      <c r="I360" s="60"/>
      <c r="J360" s="165"/>
      <c r="K360" s="14"/>
      <c r="L360" s="50"/>
      <c r="M360" s="66"/>
      <c r="N360" s="24"/>
      <c r="O360" s="62"/>
      <c r="P360" s="377"/>
      <c r="Q360" s="21"/>
      <c r="R360" s="383"/>
      <c r="S360" s="54"/>
      <c r="T360" s="47"/>
      <c r="U360" s="25"/>
      <c r="V360" s="175"/>
      <c r="W360" s="198"/>
      <c r="X360" s="26"/>
      <c r="Y360" s="27"/>
      <c r="Z360" s="28"/>
      <c r="AA360" s="396"/>
      <c r="AB360" s="261"/>
    </row>
    <row r="361" spans="1:28" x14ac:dyDescent="0.3">
      <c r="A361" s="370">
        <v>46016</v>
      </c>
      <c r="B361" s="37"/>
      <c r="C361" s="14"/>
      <c r="D361" s="14"/>
      <c r="E361" s="14"/>
      <c r="F361" s="14"/>
      <c r="G361" s="58"/>
      <c r="H361" s="58"/>
      <c r="I361" s="60"/>
      <c r="J361" s="165"/>
      <c r="K361" s="14"/>
      <c r="L361" s="50"/>
      <c r="M361" s="66"/>
      <c r="N361" s="24"/>
      <c r="O361" s="62"/>
      <c r="P361" s="377"/>
      <c r="Q361" s="21"/>
      <c r="R361" s="383"/>
      <c r="S361" s="54"/>
      <c r="T361" s="47"/>
      <c r="U361" s="25"/>
      <c r="V361" s="175"/>
      <c r="W361" s="198"/>
      <c r="X361" s="26"/>
      <c r="Y361" s="27"/>
      <c r="Z361" s="28"/>
      <c r="AA361" s="396"/>
      <c r="AB361" s="261"/>
    </row>
    <row r="362" spans="1:28" x14ac:dyDescent="0.3">
      <c r="A362" s="370">
        <v>46017</v>
      </c>
      <c r="B362" s="37"/>
      <c r="C362" s="14"/>
      <c r="D362" s="14"/>
      <c r="E362" s="14"/>
      <c r="F362" s="14"/>
      <c r="G362" s="58"/>
      <c r="H362" s="58"/>
      <c r="I362" s="60"/>
      <c r="J362" s="165"/>
      <c r="K362" s="14"/>
      <c r="L362" s="50"/>
      <c r="M362" s="66"/>
      <c r="N362" s="24"/>
      <c r="O362" s="62"/>
      <c r="P362" s="377"/>
      <c r="Q362" s="21"/>
      <c r="R362" s="383"/>
      <c r="S362" s="54"/>
      <c r="T362" s="47"/>
      <c r="U362" s="25"/>
      <c r="V362" s="175"/>
      <c r="W362" s="198"/>
      <c r="X362" s="26"/>
      <c r="Y362" s="27"/>
      <c r="Z362" s="28"/>
      <c r="AA362" s="396"/>
      <c r="AB362" s="261"/>
    </row>
    <row r="363" spans="1:28" x14ac:dyDescent="0.3">
      <c r="A363" s="370">
        <v>46018</v>
      </c>
      <c r="B363" s="37"/>
      <c r="C363" s="14"/>
      <c r="D363" s="14"/>
      <c r="E363" s="14"/>
      <c r="F363" s="14"/>
      <c r="G363" s="58"/>
      <c r="H363" s="58"/>
      <c r="I363" s="60"/>
      <c r="J363" s="165"/>
      <c r="K363" s="14"/>
      <c r="L363" s="50"/>
      <c r="M363" s="66"/>
      <c r="N363" s="24"/>
      <c r="O363" s="62"/>
      <c r="P363" s="377"/>
      <c r="Q363" s="21"/>
      <c r="R363" s="383"/>
      <c r="S363" s="54"/>
      <c r="T363" s="47"/>
      <c r="U363" s="25"/>
      <c r="W363" s="198"/>
      <c r="X363" s="26"/>
      <c r="Y363" s="27"/>
      <c r="Z363" s="28"/>
      <c r="AA363" s="396"/>
      <c r="AB363" s="261"/>
    </row>
    <row r="364" spans="1:28" x14ac:dyDescent="0.3">
      <c r="A364" s="370">
        <v>46019</v>
      </c>
      <c r="B364" s="37"/>
      <c r="C364" s="14"/>
      <c r="D364" s="14"/>
      <c r="E364" s="14"/>
      <c r="F364" s="14"/>
      <c r="G364" s="58"/>
      <c r="H364" s="58"/>
      <c r="I364" s="60"/>
      <c r="J364" s="165"/>
      <c r="K364" s="14"/>
      <c r="L364" s="50"/>
      <c r="M364" s="66"/>
      <c r="N364" s="24"/>
      <c r="O364" s="62"/>
      <c r="P364" s="377"/>
      <c r="Q364" s="21"/>
      <c r="R364" s="383"/>
      <c r="S364" s="54"/>
      <c r="T364" s="47"/>
      <c r="U364" s="25"/>
      <c r="V364" s="175"/>
      <c r="W364" s="198"/>
      <c r="X364" s="26"/>
      <c r="Y364" s="27"/>
      <c r="Z364" s="28"/>
      <c r="AA364" s="396"/>
      <c r="AB364" s="261"/>
    </row>
    <row r="365" spans="1:28" x14ac:dyDescent="0.3">
      <c r="A365" s="370">
        <v>46020</v>
      </c>
      <c r="B365" s="37"/>
      <c r="C365" s="14"/>
      <c r="D365" s="14"/>
      <c r="E365" s="240"/>
      <c r="F365" s="14"/>
      <c r="G365" s="58"/>
      <c r="H365" s="58"/>
      <c r="I365" s="60"/>
      <c r="J365" s="165"/>
      <c r="K365" s="14"/>
      <c r="L365" s="50"/>
      <c r="M365" s="66"/>
      <c r="N365" s="24"/>
      <c r="O365" s="62"/>
      <c r="P365" s="377"/>
      <c r="Q365" s="21"/>
      <c r="R365" s="383"/>
      <c r="S365" s="54"/>
      <c r="T365" s="47"/>
      <c r="U365" s="25"/>
      <c r="V365" s="175"/>
      <c r="W365" s="198"/>
      <c r="X365" s="26"/>
      <c r="Y365" s="27"/>
      <c r="Z365" s="28"/>
      <c r="AA365" s="396"/>
      <c r="AB365" s="261"/>
    </row>
    <row r="366" spans="1:28" x14ac:dyDescent="0.3">
      <c r="A366" s="370">
        <v>46021</v>
      </c>
      <c r="B366" s="37"/>
      <c r="C366" s="14"/>
      <c r="D366" s="14"/>
      <c r="E366" s="14"/>
      <c r="F366" s="14"/>
      <c r="G366" s="58"/>
      <c r="H366" s="58"/>
      <c r="I366" s="60"/>
      <c r="J366" s="165"/>
      <c r="K366" s="14"/>
      <c r="L366" s="50"/>
      <c r="M366" s="66"/>
      <c r="N366" s="24"/>
      <c r="O366" s="62"/>
      <c r="P366" s="377"/>
      <c r="Q366" s="21"/>
      <c r="R366" s="383"/>
      <c r="S366" s="54"/>
      <c r="T366" s="47"/>
      <c r="U366" s="25"/>
      <c r="V366" s="175"/>
      <c r="W366" s="198"/>
      <c r="X366" s="26"/>
      <c r="Y366" s="27"/>
      <c r="Z366" s="28"/>
      <c r="AA366" s="396"/>
      <c r="AB366" s="261"/>
    </row>
    <row r="367" spans="1:28" s="338" customFormat="1" ht="15" thickBot="1" x14ac:dyDescent="0.35">
      <c r="A367" s="370">
        <v>46022</v>
      </c>
      <c r="B367" s="38"/>
      <c r="C367" s="22"/>
      <c r="D367" s="22"/>
      <c r="E367" s="22"/>
      <c r="F367" s="22"/>
      <c r="G367" s="22"/>
      <c r="H367" s="22"/>
      <c r="I367" s="61"/>
      <c r="J367" s="166"/>
      <c r="K367" s="22"/>
      <c r="L367" s="256"/>
      <c r="M367" s="67"/>
      <c r="N367" s="52"/>
      <c r="O367" s="63"/>
      <c r="P367" s="381"/>
      <c r="Q367" s="53"/>
      <c r="R367" s="388"/>
      <c r="S367" s="56"/>
      <c r="T367" s="49"/>
      <c r="U367" s="39"/>
      <c r="V367" s="176"/>
      <c r="W367" s="199"/>
      <c r="X367" s="40"/>
      <c r="Y367" s="41"/>
      <c r="Z367" s="42"/>
      <c r="AA367" s="399"/>
      <c r="AB367" s="262"/>
    </row>
  </sheetData>
  <mergeCells count="6">
    <mergeCell ref="B1:I1"/>
    <mergeCell ref="W1:AA1"/>
    <mergeCell ref="S1:V1"/>
    <mergeCell ref="M1:O1"/>
    <mergeCell ref="P1:R1"/>
    <mergeCell ref="J1:L1"/>
  </mergeCells>
  <conditionalFormatting sqref="B1:I33 B61:I1048576">
    <cfRule type="colorScale" priority="55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B34:I60">
    <cfRule type="colorScale" priority="21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J1:L33 J61:L1048576">
    <cfRule type="colorScale" priority="63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J34:L60">
    <cfRule type="colorScale" priority="26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M1:O33 M61:O1048576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ellIs" dxfId="162" priority="62" operator="equal">
      <formula>100</formula>
    </cfRule>
  </conditionalFormatting>
  <conditionalFormatting sqref="M34:O60">
    <cfRule type="cellIs" dxfId="161" priority="25" operator="equal">
      <formula>99</formula>
    </cfRule>
    <cfRule type="colorScale" priority="2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1:R33 P61:R1048576">
    <cfRule type="colorScale" priority="65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P34:R60">
    <cfRule type="colorScale" priority="28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S1:S33 S61:S1048576">
    <cfRule type="colorScale" priority="59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34:S60">
    <cfRule type="colorScale" priority="24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1:T33 T61:T1048576">
    <cfRule type="colorScale" priority="58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34:T60">
    <cfRule type="colorScale" priority="23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1:U33 U61:U1048576">
    <cfRule type="colorScale" priority="57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U34:U60">
    <cfRule type="colorScale" priority="22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V62:V82 V84:V92 V123:AB138 W139:AB152 V140:V152 V153:AB153">
    <cfRule type="containsBlanks" priority="103">
      <formula>LEN(TRIM(V62))=0</formula>
    </cfRule>
  </conditionalFormatting>
  <conditionalFormatting sqref="V3:AB61">
    <cfRule type="containsBlanks" dxfId="160" priority="29">
      <formula>LEN(TRIM(V3))=0</formula>
    </cfRule>
  </conditionalFormatting>
  <conditionalFormatting sqref="V93:AB94 X93:AA122 W95:AB122 V123:AB138 W139:AB152 V153:AB342 W343:AB363 V364:AB367 AC47 V62:V82 V84:V92 V96:V122 V140:V152 V343:V362">
    <cfRule type="containsBlanks" dxfId="159" priority="1330">
      <formula>LEN(TRIM(V47))=0</formula>
    </cfRule>
  </conditionalFormatting>
  <conditionalFormatting sqref="W62:AB92">
    <cfRule type="containsBlanks" priority="19">
      <formula>LEN(TRIM(W62))=0</formula>
    </cfRule>
    <cfRule type="containsBlanks" dxfId="158" priority="20">
      <formula>LEN(TRIM(W62))=0</formula>
    </cfRule>
  </conditionalFormatting>
  <conditionalFormatting sqref="X3:X60">
    <cfRule type="cellIs" dxfId="157" priority="48" operator="greaterThan">
      <formula>150</formula>
    </cfRule>
    <cfRule type="cellIs" dxfId="156" priority="52" operator="between">
      <formula>15</formula>
      <formula>30</formula>
    </cfRule>
    <cfRule type="cellIs" dxfId="155" priority="53" operator="between">
      <formula>5</formula>
      <formula>15</formula>
    </cfRule>
    <cfRule type="cellIs" dxfId="154" priority="51" operator="between">
      <formula>30</formula>
      <formula>50</formula>
    </cfRule>
    <cfRule type="cellIs" dxfId="153" priority="50" operator="between">
      <formula>50</formula>
      <formula>90</formula>
    </cfRule>
    <cfRule type="cellIs" dxfId="152" priority="49" operator="between">
      <formula>90</formula>
      <formula>150</formula>
    </cfRule>
  </conditionalFormatting>
  <conditionalFormatting sqref="X34:X60">
    <cfRule type="cellIs" dxfId="151" priority="54" operator="between">
      <formula>0</formula>
      <formula>5</formula>
    </cfRule>
  </conditionalFormatting>
  <conditionalFormatting sqref="X61:X367">
    <cfRule type="cellIs" dxfId="150" priority="1382" operator="between">
      <formula>0</formula>
      <formula>5</formula>
    </cfRule>
    <cfRule type="cellIs" dxfId="149" priority="1376" operator="greaterThan">
      <formula>150</formula>
    </cfRule>
    <cfRule type="cellIs" dxfId="148" priority="1377" operator="between">
      <formula>90</formula>
      <formula>150</formula>
    </cfRule>
    <cfRule type="cellIs" dxfId="147" priority="1378" operator="between">
      <formula>50</formula>
      <formula>90</formula>
    </cfRule>
    <cfRule type="cellIs" dxfId="146" priority="1379" operator="between">
      <formula>30</formula>
      <formula>50</formula>
    </cfRule>
    <cfRule type="cellIs" dxfId="145" priority="1380" operator="between">
      <formula>15</formula>
      <formula>30</formula>
    </cfRule>
    <cfRule type="cellIs" dxfId="144" priority="1381" operator="between">
      <formula>5</formula>
      <formula>15</formula>
    </cfRule>
  </conditionalFormatting>
  <conditionalFormatting sqref="X3:Y33">
    <cfRule type="cellIs" dxfId="143" priority="1375" operator="between">
      <formula>0</formula>
      <formula>5</formula>
    </cfRule>
  </conditionalFormatting>
  <conditionalFormatting sqref="X3:AA367">
    <cfRule type="cellIs" dxfId="142" priority="30" operator="equal">
      <formula>0</formula>
    </cfRule>
  </conditionalFormatting>
  <conditionalFormatting sqref="X93:AA367">
    <cfRule type="containsBlanks" dxfId="141" priority="2">
      <formula>LEN(TRIM(X93))=0</formula>
    </cfRule>
    <cfRule type="containsBlanks" priority="1">
      <formula>LEN(TRIM(X93))=0</formula>
    </cfRule>
  </conditionalFormatting>
  <conditionalFormatting sqref="Y3:Y367">
    <cfRule type="cellIs" dxfId="140" priority="46" operator="between">
      <formula>5</formula>
      <formula>10</formula>
    </cfRule>
    <cfRule type="cellIs" dxfId="139" priority="44" operator="between">
      <formula>15</formula>
      <formula>30</formula>
    </cfRule>
    <cfRule type="cellIs" dxfId="138" priority="45" operator="between">
      <formula>10</formula>
      <formula>15</formula>
    </cfRule>
    <cfRule type="cellIs" dxfId="137" priority="43" operator="between">
      <formula>30</formula>
      <formula>45</formula>
    </cfRule>
    <cfRule type="cellIs" dxfId="136" priority="42" operator="between">
      <formula>45</formula>
      <formula>60</formula>
    </cfRule>
    <cfRule type="cellIs" dxfId="135" priority="41" operator="between">
      <formula>60</formula>
      <formula>80</formula>
    </cfRule>
    <cfRule type="cellIs" dxfId="134" priority="40" operator="greaterThan">
      <formula>80</formula>
    </cfRule>
  </conditionalFormatting>
  <conditionalFormatting sqref="Y34:Y367">
    <cfRule type="cellIs" dxfId="133" priority="47" operator="between">
      <formula>0</formula>
      <formula>5</formula>
    </cfRule>
  </conditionalFormatting>
  <conditionalFormatting sqref="Z3:AA367">
    <cfRule type="cellIs" dxfId="132" priority="36" operator="between">
      <formula>5</formula>
      <formula>7.5</formula>
    </cfRule>
    <cfRule type="cellIs" dxfId="131" priority="35" operator="between">
      <formula>7.5</formula>
      <formula>10</formula>
    </cfRule>
    <cfRule type="cellIs" dxfId="130" priority="34" operator="between">
      <formula>10</formula>
      <formula>15</formula>
    </cfRule>
    <cfRule type="cellIs" dxfId="129" priority="33" operator="between">
      <formula>15</formula>
      <formula>20</formula>
    </cfRule>
    <cfRule type="cellIs" dxfId="128" priority="32" operator="between">
      <formula>20</formula>
      <formula>30</formula>
    </cfRule>
    <cfRule type="cellIs" dxfId="127" priority="31" operator="greaterThan">
      <formula>30</formula>
    </cfRule>
    <cfRule type="cellIs" dxfId="126" priority="38" operator="between">
      <formula>1</formula>
      <formula>3</formula>
    </cfRule>
    <cfRule type="cellIs" dxfId="125" priority="39" operator="between">
      <formula>0</formula>
      <formula>1</formula>
    </cfRule>
    <cfRule type="cellIs" dxfId="124" priority="37" operator="between">
      <formula>3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5"/>
  <dimension ref="A1:Y265"/>
  <sheetViews>
    <sheetView zoomScale="85" zoomScaleNormal="85" workbookViewId="0">
      <pane xSplit="2" ySplit="2" topLeftCell="C44" activePane="bottomRight" state="frozen"/>
      <selection pane="topRight" activeCell="C1" sqref="C1"/>
      <selection pane="bottomLeft" activeCell="A3" sqref="A3"/>
      <selection pane="bottomRight" activeCell="K50" sqref="K50"/>
    </sheetView>
  </sheetViews>
  <sheetFormatPr defaultColWidth="9.109375" defaultRowHeight="14.4" x14ac:dyDescent="0.3"/>
  <cols>
    <col min="1" max="1" width="12.33203125" style="118" customWidth="1"/>
    <col min="2" max="2" width="11.109375" style="118" customWidth="1"/>
    <col min="3" max="4" width="17.109375" style="118" customWidth="1"/>
    <col min="5" max="5" width="9.109375" style="118"/>
    <col min="6" max="6" width="11.109375" style="118" customWidth="1"/>
    <col min="7" max="7" width="11.109375" style="119" customWidth="1"/>
    <col min="8" max="8" width="11.109375" style="118" customWidth="1"/>
    <col min="9" max="9" width="11" style="118" customWidth="1"/>
    <col min="10" max="10" width="12.109375" style="118" customWidth="1"/>
    <col min="11" max="11" width="11.44140625" style="118" bestFit="1" customWidth="1"/>
    <col min="12" max="13" width="9.109375" style="118"/>
    <col min="14" max="14" width="11.44140625" style="118" customWidth="1"/>
    <col min="15" max="15" width="10.44140625" style="118" bestFit="1" customWidth="1"/>
    <col min="16" max="16" width="10" style="118" customWidth="1"/>
    <col min="17" max="17" width="9.109375" style="118"/>
    <col min="18" max="18" width="13.33203125" style="118" customWidth="1"/>
    <col min="19" max="19" width="14.44140625" style="158" customWidth="1"/>
    <col min="20" max="20" width="12.44140625" style="118" customWidth="1"/>
    <col min="21" max="22" width="42.88671875" style="118" customWidth="1"/>
    <col min="23" max="16384" width="9.109375" style="118"/>
  </cols>
  <sheetData>
    <row r="1" spans="1:25" s="99" customFormat="1" ht="16.5" customHeight="1" thickBot="1" x14ac:dyDescent="0.35">
      <c r="A1" s="442" t="s">
        <v>0</v>
      </c>
      <c r="B1" s="442" t="s">
        <v>121</v>
      </c>
      <c r="C1" s="454" t="s">
        <v>203</v>
      </c>
      <c r="D1" s="455"/>
      <c r="E1" s="444" t="s">
        <v>123</v>
      </c>
      <c r="F1" s="445"/>
      <c r="G1" s="445"/>
      <c r="H1" s="446"/>
      <c r="I1" s="450" t="s">
        <v>124</v>
      </c>
      <c r="J1" s="451"/>
      <c r="K1" s="447" t="s">
        <v>10</v>
      </c>
      <c r="L1" s="448"/>
      <c r="M1" s="449"/>
      <c r="N1" s="459" t="s">
        <v>125</v>
      </c>
      <c r="O1" s="460"/>
      <c r="P1" s="460"/>
      <c r="Q1" s="461"/>
      <c r="R1" s="462" t="s">
        <v>126</v>
      </c>
      <c r="S1" s="463"/>
      <c r="T1" s="463"/>
      <c r="U1" s="424" t="s">
        <v>127</v>
      </c>
      <c r="V1" s="357"/>
      <c r="W1" s="312"/>
      <c r="X1" s="312"/>
      <c r="Y1" s="312"/>
    </row>
    <row r="2" spans="1:25" s="111" customFormat="1" ht="63" thickBot="1" x14ac:dyDescent="0.35">
      <c r="A2" s="443"/>
      <c r="B2" s="443"/>
      <c r="C2" s="295" t="s">
        <v>122</v>
      </c>
      <c r="D2" s="295" t="s">
        <v>202</v>
      </c>
      <c r="E2" s="100" t="s">
        <v>128</v>
      </c>
      <c r="F2" s="100" t="s">
        <v>196</v>
      </c>
      <c r="G2" s="340" t="s">
        <v>190</v>
      </c>
      <c r="H2" s="100" t="s">
        <v>210</v>
      </c>
      <c r="I2" s="101" t="s">
        <v>130</v>
      </c>
      <c r="J2" s="102" t="s">
        <v>131</v>
      </c>
      <c r="K2" s="103" t="s">
        <v>132</v>
      </c>
      <c r="L2" s="104" t="s">
        <v>133</v>
      </c>
      <c r="M2" s="105" t="s">
        <v>131</v>
      </c>
      <c r="N2" s="106" t="s">
        <v>16</v>
      </c>
      <c r="O2" s="107" t="s">
        <v>17</v>
      </c>
      <c r="P2" s="107" t="s">
        <v>42</v>
      </c>
      <c r="Q2" s="108" t="s">
        <v>134</v>
      </c>
      <c r="R2" s="157" t="s">
        <v>17</v>
      </c>
      <c r="S2" s="109" t="s">
        <v>135</v>
      </c>
      <c r="T2" s="110" t="s">
        <v>136</v>
      </c>
      <c r="U2" s="425"/>
      <c r="V2" s="35"/>
      <c r="W2" s="36"/>
      <c r="X2" s="36"/>
      <c r="Y2" s="36"/>
    </row>
    <row r="3" spans="1:25" s="133" customFormat="1" ht="15" thickBot="1" x14ac:dyDescent="0.35">
      <c r="G3" s="134"/>
      <c r="R3" s="161"/>
    </row>
    <row r="4" spans="1:25" s="80" customFormat="1" ht="15" thickBot="1" x14ac:dyDescent="0.35">
      <c r="A4" s="268" t="s">
        <v>108</v>
      </c>
      <c r="G4" s="149"/>
      <c r="R4" s="162"/>
    </row>
    <row r="5" spans="1:25" s="265" customFormat="1" x14ac:dyDescent="0.3">
      <c r="G5" s="119"/>
      <c r="R5" s="267"/>
    </row>
    <row r="6" spans="1:25" x14ac:dyDescent="0.3">
      <c r="R6" s="158"/>
      <c r="S6" s="118"/>
    </row>
    <row r="7" spans="1:25" x14ac:dyDescent="0.3">
      <c r="R7" s="158"/>
      <c r="S7" s="118"/>
    </row>
    <row r="8" spans="1:25" x14ac:dyDescent="0.3">
      <c r="C8" s="51" t="s">
        <v>137</v>
      </c>
      <c r="D8" s="51"/>
      <c r="H8" s="118">
        <f>COUNTIF(T5:T7,"*áno*")</f>
        <v>0</v>
      </c>
      <c r="R8" s="158"/>
      <c r="S8" s="118"/>
    </row>
    <row r="9" spans="1:25" x14ac:dyDescent="0.3">
      <c r="C9" s="51" t="s">
        <v>138</v>
      </c>
      <c r="D9" s="51"/>
      <c r="H9" s="118">
        <f>COUNTIF(E5:E7,"*w*")</f>
        <v>0</v>
      </c>
      <c r="R9" s="158"/>
      <c r="S9" s="118"/>
    </row>
    <row r="10" spans="1:25" x14ac:dyDescent="0.3">
      <c r="C10" s="51" t="s">
        <v>139</v>
      </c>
      <c r="D10" s="51"/>
      <c r="H10" s="118">
        <f>COUNTIF(E5:E7,"*P*")</f>
        <v>0</v>
      </c>
      <c r="R10" s="158"/>
      <c r="S10" s="118"/>
    </row>
    <row r="11" spans="1:25" x14ac:dyDescent="0.3">
      <c r="C11" s="51" t="s">
        <v>140</v>
      </c>
      <c r="D11" s="51"/>
      <c r="H11" s="118">
        <f>COUNTIF(E5:E7,"*L*")</f>
        <v>0</v>
      </c>
      <c r="R11" s="158"/>
      <c r="S11" s="118"/>
    </row>
    <row r="12" spans="1:25" x14ac:dyDescent="0.3">
      <c r="C12" s="51" t="s">
        <v>141</v>
      </c>
      <c r="D12" s="51"/>
      <c r="H12" s="118">
        <f>COUNTIF(E5:E7,"*V*")</f>
        <v>0</v>
      </c>
      <c r="R12" s="158"/>
      <c r="S12" s="118"/>
    </row>
    <row r="13" spans="1:25" x14ac:dyDescent="0.3">
      <c r="C13" s="51"/>
      <c r="D13" s="51"/>
      <c r="R13" s="158"/>
      <c r="S13" s="118"/>
    </row>
    <row r="14" spans="1:25" x14ac:dyDescent="0.3">
      <c r="C14" s="51" t="s">
        <v>142</v>
      </c>
      <c r="D14" s="51"/>
      <c r="H14" s="118">
        <f>COUNTIF(E5:E7,"*D*")</f>
        <v>0</v>
      </c>
      <c r="R14" s="158"/>
      <c r="S14" s="118"/>
    </row>
    <row r="15" spans="1:25" x14ac:dyDescent="0.3">
      <c r="C15" s="51" t="s">
        <v>143</v>
      </c>
      <c r="D15" s="51"/>
      <c r="H15" s="118">
        <f>COUNTIF(E5:E7,"*S*")</f>
        <v>0</v>
      </c>
      <c r="R15" s="158"/>
      <c r="S15" s="118"/>
    </row>
    <row r="16" spans="1:25" x14ac:dyDescent="0.3">
      <c r="C16" s="51" t="s">
        <v>144</v>
      </c>
      <c r="D16" s="51"/>
      <c r="H16" s="118">
        <f>COUNTIF(E5:E7,"*K*")</f>
        <v>0</v>
      </c>
      <c r="R16" s="158"/>
      <c r="S16" s="118"/>
    </row>
    <row r="17" spans="1:25" s="133" customFormat="1" ht="15" thickBot="1" x14ac:dyDescent="0.35">
      <c r="C17" s="144" t="s">
        <v>145</v>
      </c>
      <c r="D17" s="144"/>
      <c r="G17" s="119"/>
      <c r="H17" s="133">
        <f>COUNTIF(E5:E7,"*Z*")</f>
        <v>0</v>
      </c>
      <c r="R17" s="161"/>
    </row>
    <row r="18" spans="1:25" s="80" customFormat="1" ht="15" thickBot="1" x14ac:dyDescent="0.35">
      <c r="A18" s="268" t="s">
        <v>107</v>
      </c>
      <c r="C18" s="190"/>
      <c r="D18" s="190"/>
      <c r="G18" s="119"/>
      <c r="R18" s="162"/>
    </row>
    <row r="19" spans="1:25" s="265" customFormat="1" x14ac:dyDescent="0.3">
      <c r="C19" s="266"/>
      <c r="D19" s="266"/>
      <c r="G19" s="119"/>
      <c r="R19" s="267"/>
    </row>
    <row r="20" spans="1:25" x14ac:dyDescent="0.3">
      <c r="C20" s="51"/>
      <c r="D20" s="51"/>
      <c r="R20" s="158"/>
      <c r="S20" s="118"/>
    </row>
    <row r="21" spans="1:25" x14ac:dyDescent="0.3">
      <c r="C21" s="51"/>
      <c r="D21" s="51"/>
      <c r="R21" s="158"/>
      <c r="S21" s="118"/>
    </row>
    <row r="22" spans="1:25" x14ac:dyDescent="0.3">
      <c r="C22" s="51" t="s">
        <v>137</v>
      </c>
      <c r="D22" s="51"/>
      <c r="H22" s="118">
        <f>COUNTIF(T19:T21,"*áno*")</f>
        <v>0</v>
      </c>
      <c r="R22" s="158"/>
      <c r="S22" s="118"/>
    </row>
    <row r="23" spans="1:25" x14ac:dyDescent="0.3">
      <c r="C23" s="51" t="s">
        <v>138</v>
      </c>
      <c r="D23" s="51"/>
      <c r="H23" s="118">
        <f>COUNTIF(E19:E21,"*w*")</f>
        <v>0</v>
      </c>
      <c r="R23" s="158"/>
      <c r="S23" s="118"/>
    </row>
    <row r="24" spans="1:25" x14ac:dyDescent="0.3">
      <c r="C24" s="51" t="s">
        <v>139</v>
      </c>
      <c r="D24" s="51"/>
      <c r="H24" s="118">
        <f>COUNTIF(E19:E21,"*P*")</f>
        <v>0</v>
      </c>
      <c r="R24" s="158"/>
      <c r="S24" s="118"/>
    </row>
    <row r="25" spans="1:25" x14ac:dyDescent="0.3">
      <c r="C25" s="51" t="s">
        <v>140</v>
      </c>
      <c r="D25" s="51"/>
      <c r="H25" s="118">
        <f>COUNTIF(E19:E21,"*L*")</f>
        <v>0</v>
      </c>
      <c r="R25" s="158"/>
      <c r="S25" s="118"/>
    </row>
    <row r="26" spans="1:25" x14ac:dyDescent="0.3">
      <c r="C26" s="51" t="s">
        <v>141</v>
      </c>
      <c r="D26" s="51"/>
      <c r="H26" s="118">
        <f>COUNTIF(E19:E21,"*V*")</f>
        <v>0</v>
      </c>
      <c r="R26" s="158"/>
      <c r="S26" s="118"/>
    </row>
    <row r="27" spans="1:25" x14ac:dyDescent="0.3">
      <c r="C27" s="51"/>
      <c r="D27" s="51"/>
      <c r="R27" s="158"/>
      <c r="S27" s="118"/>
    </row>
    <row r="28" spans="1:25" x14ac:dyDescent="0.3">
      <c r="C28" s="51" t="s">
        <v>142</v>
      </c>
      <c r="D28" s="51"/>
      <c r="H28" s="118">
        <f>COUNTIF(E19:E21,"*D*")</f>
        <v>0</v>
      </c>
      <c r="R28" s="158"/>
      <c r="S28" s="118"/>
    </row>
    <row r="29" spans="1:25" x14ac:dyDescent="0.3">
      <c r="C29" s="51" t="s">
        <v>143</v>
      </c>
      <c r="D29" s="51"/>
      <c r="H29" s="118">
        <f>COUNTIF(E19:E21,"*S*")</f>
        <v>0</v>
      </c>
      <c r="R29" s="158"/>
      <c r="S29" s="118"/>
    </row>
    <row r="30" spans="1:25" x14ac:dyDescent="0.3">
      <c r="C30" s="51" t="s">
        <v>144</v>
      </c>
      <c r="D30" s="51"/>
      <c r="H30" s="118">
        <f>COUNTIF(E19:E21,"*K*")</f>
        <v>0</v>
      </c>
      <c r="R30" s="158"/>
      <c r="S30" s="118"/>
    </row>
    <row r="31" spans="1:25" ht="15" thickBot="1" x14ac:dyDescent="0.35">
      <c r="C31" s="51" t="s">
        <v>145</v>
      </c>
      <c r="D31" s="51"/>
      <c r="H31" s="118">
        <f>COUNTIF(E19:E21,"*Z*")</f>
        <v>0</v>
      </c>
      <c r="R31" s="158"/>
      <c r="S31" s="118"/>
    </row>
    <row r="32" spans="1:25" s="116" customFormat="1" ht="16.2" thickBot="1" x14ac:dyDescent="0.35">
      <c r="A32" s="112" t="s">
        <v>104</v>
      </c>
      <c r="B32" s="113"/>
      <c r="C32" s="113"/>
      <c r="D32" s="113"/>
      <c r="E32" s="113"/>
      <c r="F32" s="113"/>
      <c r="G32" s="119"/>
      <c r="H32" s="114"/>
      <c r="I32" s="115"/>
      <c r="J32" s="115"/>
      <c r="K32" s="115"/>
      <c r="L32" s="115"/>
      <c r="M32" s="115"/>
      <c r="N32" s="115"/>
      <c r="O32" s="115"/>
      <c r="P32" s="115"/>
      <c r="Q32" s="115"/>
      <c r="R32" s="159"/>
      <c r="S32" s="115"/>
      <c r="T32" s="115"/>
      <c r="V32" s="358"/>
      <c r="W32" s="358"/>
      <c r="X32" s="358"/>
      <c r="Y32" s="358"/>
    </row>
    <row r="33" spans="1:21" ht="43.2" x14ac:dyDescent="0.3">
      <c r="A33" s="117">
        <v>45729</v>
      </c>
      <c r="B33" s="284" t="s">
        <v>266</v>
      </c>
      <c r="C33" s="118" t="s">
        <v>267</v>
      </c>
      <c r="D33" s="118" t="s">
        <v>268</v>
      </c>
      <c r="E33" s="118" t="s">
        <v>273</v>
      </c>
      <c r="F33" s="118" t="s">
        <v>272</v>
      </c>
      <c r="G33" s="119">
        <v>60</v>
      </c>
      <c r="H33" s="119">
        <v>46</v>
      </c>
      <c r="I33" s="118" t="s">
        <v>271</v>
      </c>
      <c r="J33" s="118" t="s">
        <v>239</v>
      </c>
      <c r="K33" s="121">
        <v>9.9</v>
      </c>
      <c r="L33" s="121">
        <v>4.5</v>
      </c>
      <c r="M33" s="118" t="s">
        <v>240</v>
      </c>
      <c r="N33" s="122">
        <v>12</v>
      </c>
      <c r="O33" s="123">
        <v>1.3</v>
      </c>
      <c r="P33" s="123">
        <v>0</v>
      </c>
      <c r="Q33" s="124">
        <v>0</v>
      </c>
      <c r="R33" s="158">
        <v>23</v>
      </c>
      <c r="S33" s="120">
        <v>4.9000000000000004</v>
      </c>
      <c r="T33" s="118" t="s">
        <v>270</v>
      </c>
      <c r="U33" s="118" t="s">
        <v>269</v>
      </c>
    </row>
    <row r="34" spans="1:21" x14ac:dyDescent="0.3">
      <c r="A34" s="117"/>
      <c r="B34" s="284"/>
      <c r="H34" s="119"/>
      <c r="K34" s="121"/>
      <c r="L34" s="121"/>
      <c r="N34" s="122"/>
      <c r="O34" s="123"/>
      <c r="P34" s="123"/>
      <c r="Q34" s="124"/>
      <c r="R34" s="158"/>
      <c r="S34" s="120"/>
    </row>
    <row r="35" spans="1:21" x14ac:dyDescent="0.3">
      <c r="A35" s="117"/>
      <c r="H35" s="119"/>
      <c r="K35" s="121"/>
      <c r="L35" s="121"/>
      <c r="N35" s="122"/>
      <c r="O35" s="123"/>
      <c r="P35" s="123"/>
      <c r="Q35" s="124"/>
      <c r="R35" s="158"/>
      <c r="S35" s="120"/>
    </row>
    <row r="36" spans="1:21" x14ac:dyDescent="0.3">
      <c r="A36" s="117"/>
      <c r="H36" s="119"/>
      <c r="K36" s="121"/>
      <c r="L36" s="121"/>
      <c r="N36" s="122"/>
      <c r="O36" s="123"/>
      <c r="P36" s="123"/>
      <c r="Q36" s="124"/>
      <c r="R36" s="158"/>
      <c r="S36" s="120"/>
    </row>
    <row r="37" spans="1:21" x14ac:dyDescent="0.3">
      <c r="A37" s="117"/>
      <c r="C37" s="51" t="s">
        <v>137</v>
      </c>
      <c r="D37" s="51"/>
      <c r="H37" s="118">
        <f>COUNTIF(T33:T36,"*áno*")</f>
        <v>1</v>
      </c>
      <c r="K37" s="121"/>
      <c r="L37" s="121"/>
      <c r="N37" s="122"/>
      <c r="O37" s="123"/>
      <c r="P37" s="123"/>
      <c r="Q37" s="124"/>
      <c r="R37" s="158"/>
      <c r="S37" s="120"/>
    </row>
    <row r="38" spans="1:21" x14ac:dyDescent="0.3">
      <c r="A38" s="117"/>
      <c r="C38" s="51" t="s">
        <v>138</v>
      </c>
      <c r="D38" s="51"/>
      <c r="H38" s="118">
        <f>COUNTIF(E33:E36,"*w*")</f>
        <v>1</v>
      </c>
      <c r="K38" s="121"/>
      <c r="L38" s="121"/>
      <c r="N38" s="122"/>
      <c r="O38" s="123"/>
      <c r="P38" s="123"/>
      <c r="Q38" s="124"/>
      <c r="R38" s="158"/>
      <c r="S38" s="120"/>
    </row>
    <row r="39" spans="1:21" x14ac:dyDescent="0.3">
      <c r="A39" s="117"/>
      <c r="C39" s="51" t="s">
        <v>139</v>
      </c>
      <c r="D39" s="51"/>
      <c r="H39" s="118">
        <f>COUNTIF(E33:E36,"*P*")</f>
        <v>0</v>
      </c>
      <c r="K39" s="121"/>
      <c r="L39" s="121"/>
      <c r="N39" s="122"/>
      <c r="O39" s="123"/>
      <c r="P39" s="123"/>
      <c r="Q39" s="124"/>
      <c r="R39" s="158"/>
      <c r="S39" s="120"/>
    </row>
    <row r="40" spans="1:21" x14ac:dyDescent="0.3">
      <c r="A40" s="117"/>
      <c r="C40" s="51" t="s">
        <v>140</v>
      </c>
      <c r="D40" s="51"/>
      <c r="H40" s="118">
        <f>COUNTIF(E33:E36,"*L*")</f>
        <v>1</v>
      </c>
      <c r="K40" s="121"/>
      <c r="L40" s="121"/>
      <c r="N40" s="122"/>
      <c r="O40" s="123"/>
      <c r="P40" s="123"/>
      <c r="Q40" s="124"/>
      <c r="R40" s="158"/>
      <c r="S40" s="120"/>
    </row>
    <row r="41" spans="1:21" x14ac:dyDescent="0.3">
      <c r="A41" s="117"/>
      <c r="C41" s="51" t="s">
        <v>141</v>
      </c>
      <c r="D41" s="51"/>
      <c r="H41" s="118">
        <f>COUNTIF(E33:E36,"*V*")</f>
        <v>0</v>
      </c>
      <c r="K41" s="121"/>
      <c r="L41" s="121"/>
      <c r="N41" s="122"/>
      <c r="O41" s="123"/>
      <c r="P41" s="123"/>
      <c r="Q41" s="124"/>
      <c r="R41" s="158"/>
      <c r="S41" s="120"/>
    </row>
    <row r="42" spans="1:21" x14ac:dyDescent="0.3">
      <c r="A42" s="117"/>
      <c r="C42" s="51"/>
      <c r="D42" s="51"/>
      <c r="K42" s="121"/>
      <c r="L42" s="121"/>
      <c r="N42" s="122"/>
      <c r="O42" s="123"/>
      <c r="P42" s="123"/>
      <c r="Q42" s="124"/>
      <c r="R42" s="158"/>
      <c r="S42" s="120"/>
    </row>
    <row r="43" spans="1:21" x14ac:dyDescent="0.3">
      <c r="A43" s="117"/>
      <c r="C43" s="51" t="s">
        <v>142</v>
      </c>
      <c r="D43" s="51"/>
      <c r="H43" s="118">
        <f>COUNTIF(E32:E32,"*D*")</f>
        <v>0</v>
      </c>
      <c r="K43" s="121"/>
      <c r="L43" s="121"/>
      <c r="N43" s="122"/>
      <c r="O43" s="123"/>
      <c r="P43" s="123"/>
      <c r="Q43" s="124"/>
      <c r="R43" s="158"/>
      <c r="S43" s="120"/>
    </row>
    <row r="44" spans="1:21" x14ac:dyDescent="0.3">
      <c r="A44" s="117"/>
      <c r="C44" s="51" t="s">
        <v>143</v>
      </c>
      <c r="D44" s="51"/>
      <c r="H44" s="118">
        <f>COUNTIF(E33:E36,"*S*")</f>
        <v>0</v>
      </c>
      <c r="K44" s="121"/>
      <c r="L44" s="121"/>
      <c r="N44" s="122"/>
      <c r="O44" s="123"/>
      <c r="P44" s="123"/>
      <c r="Q44" s="124"/>
      <c r="R44" s="158"/>
      <c r="S44" s="120"/>
    </row>
    <row r="45" spans="1:21" x14ac:dyDescent="0.3">
      <c r="A45" s="117"/>
      <c r="C45" s="51" t="s">
        <v>144</v>
      </c>
      <c r="D45" s="51"/>
      <c r="H45" s="118">
        <f>COUNTIF(E33:E36,"*K*")</f>
        <v>0</v>
      </c>
      <c r="K45" s="121"/>
      <c r="L45" s="121"/>
      <c r="N45" s="122"/>
      <c r="O45" s="123"/>
      <c r="P45" s="123"/>
      <c r="Q45" s="124"/>
      <c r="R45" s="158"/>
      <c r="S45" s="120"/>
    </row>
    <row r="46" spans="1:21" ht="15" thickBot="1" x14ac:dyDescent="0.35">
      <c r="A46" s="117"/>
      <c r="C46" s="51" t="s">
        <v>145</v>
      </c>
      <c r="D46" s="51"/>
      <c r="H46" s="118">
        <f>COUNTIF(E33:E36,"*Z*")</f>
        <v>1</v>
      </c>
      <c r="K46" s="121"/>
      <c r="L46" s="121"/>
      <c r="N46" s="122"/>
      <c r="O46" s="123"/>
      <c r="P46" s="123"/>
      <c r="Q46" s="124"/>
      <c r="R46" s="158"/>
      <c r="S46" s="120"/>
    </row>
    <row r="47" spans="1:21" s="113" customFormat="1" ht="16.2" thickBot="1" x14ac:dyDescent="0.35">
      <c r="A47" s="125" t="s">
        <v>105</v>
      </c>
      <c r="G47" s="119"/>
      <c r="H47" s="114"/>
      <c r="K47" s="127"/>
      <c r="L47" s="127"/>
      <c r="N47" s="128"/>
      <c r="O47" s="129"/>
      <c r="P47" s="129"/>
      <c r="Q47" s="130"/>
      <c r="R47" s="160"/>
      <c r="S47" s="126"/>
      <c r="T47" s="131"/>
    </row>
    <row r="48" spans="1:21" s="133" customFormat="1" ht="28.8" x14ac:dyDescent="0.3">
      <c r="A48" s="132">
        <v>45752</v>
      </c>
      <c r="B48" s="133" t="s">
        <v>281</v>
      </c>
      <c r="C48" s="133" t="s">
        <v>282</v>
      </c>
      <c r="D48" s="133" t="s">
        <v>268</v>
      </c>
      <c r="E48" s="133" t="s">
        <v>283</v>
      </c>
      <c r="F48" s="133" t="s">
        <v>272</v>
      </c>
      <c r="G48" s="119">
        <v>51</v>
      </c>
      <c r="H48" s="134">
        <v>42</v>
      </c>
      <c r="I48" s="133" t="s">
        <v>284</v>
      </c>
      <c r="J48" s="133" t="s">
        <v>239</v>
      </c>
      <c r="K48" s="136">
        <v>10.5</v>
      </c>
      <c r="L48" s="136">
        <v>4.2</v>
      </c>
      <c r="M48" s="133" t="s">
        <v>242</v>
      </c>
      <c r="N48" s="137">
        <v>12</v>
      </c>
      <c r="O48" s="138">
        <v>1</v>
      </c>
      <c r="P48" s="138">
        <v>0</v>
      </c>
      <c r="Q48" s="139">
        <v>0</v>
      </c>
      <c r="R48" s="161">
        <v>6</v>
      </c>
      <c r="S48" s="135">
        <v>5.6</v>
      </c>
      <c r="T48" s="133" t="s">
        <v>270</v>
      </c>
    </row>
    <row r="49" spans="1:21" s="133" customFormat="1" ht="57.6" x14ac:dyDescent="0.3">
      <c r="A49" s="132">
        <v>45769</v>
      </c>
      <c r="B49" s="141" t="s">
        <v>289</v>
      </c>
      <c r="C49" s="133" t="s">
        <v>282</v>
      </c>
      <c r="D49" s="133" t="s">
        <v>290</v>
      </c>
      <c r="E49" s="133" t="s">
        <v>283</v>
      </c>
      <c r="F49" s="133" t="s">
        <v>291</v>
      </c>
      <c r="G49" s="119">
        <v>56</v>
      </c>
      <c r="H49" s="134">
        <v>29</v>
      </c>
      <c r="I49" s="133" t="s">
        <v>292</v>
      </c>
      <c r="J49" s="133" t="s">
        <v>293</v>
      </c>
      <c r="K49" s="136">
        <v>8.8000000000000007</v>
      </c>
      <c r="L49" s="136">
        <v>3.9</v>
      </c>
      <c r="M49" s="133" t="s">
        <v>241</v>
      </c>
      <c r="N49" s="137">
        <v>6</v>
      </c>
      <c r="O49" s="138">
        <v>0.2</v>
      </c>
      <c r="P49" s="138">
        <v>0</v>
      </c>
      <c r="Q49" s="139">
        <v>0</v>
      </c>
      <c r="R49" s="161">
        <v>30</v>
      </c>
      <c r="S49" s="135">
        <v>6.6</v>
      </c>
      <c r="T49" s="133" t="s">
        <v>270</v>
      </c>
      <c r="U49" s="133" t="s">
        <v>296</v>
      </c>
    </row>
    <row r="50" spans="1:21" s="133" customFormat="1" x14ac:dyDescent="0.3">
      <c r="A50" s="132">
        <v>45769</v>
      </c>
      <c r="B50" s="141" t="s">
        <v>300</v>
      </c>
      <c r="C50" s="133" t="s">
        <v>282</v>
      </c>
      <c r="D50" s="133" t="s">
        <v>294</v>
      </c>
      <c r="E50" s="133" t="s">
        <v>301</v>
      </c>
      <c r="F50" s="133" t="s">
        <v>297</v>
      </c>
      <c r="G50" s="119">
        <v>55</v>
      </c>
      <c r="H50" s="134">
        <v>53</v>
      </c>
      <c r="I50" s="133" t="s">
        <v>295</v>
      </c>
      <c r="J50" s="133" t="s">
        <v>240</v>
      </c>
      <c r="K50" s="136">
        <v>3.7</v>
      </c>
      <c r="L50" s="136">
        <v>0.7</v>
      </c>
      <c r="M50" s="133" t="s">
        <v>241</v>
      </c>
      <c r="N50" s="137">
        <v>78</v>
      </c>
      <c r="O50" s="138">
        <v>12.4</v>
      </c>
      <c r="P50" s="138">
        <v>0</v>
      </c>
      <c r="Q50" s="139">
        <v>0</v>
      </c>
      <c r="R50" s="161">
        <v>116</v>
      </c>
      <c r="S50" s="135">
        <v>2</v>
      </c>
      <c r="T50" s="133" t="s">
        <v>270</v>
      </c>
      <c r="U50" s="133" t="s">
        <v>299</v>
      </c>
    </row>
    <row r="51" spans="1:21" s="133" customFormat="1" ht="129.6" x14ac:dyDescent="0.3">
      <c r="A51" s="132">
        <v>45770</v>
      </c>
      <c r="B51" s="141" t="s">
        <v>306</v>
      </c>
      <c r="C51" s="133" t="s">
        <v>302</v>
      </c>
      <c r="D51" s="133" t="s">
        <v>294</v>
      </c>
      <c r="E51" s="133" t="s">
        <v>307</v>
      </c>
      <c r="F51" s="133" t="s">
        <v>291</v>
      </c>
      <c r="G51" s="119">
        <v>62</v>
      </c>
      <c r="H51" s="134">
        <v>62</v>
      </c>
      <c r="I51" s="133" t="s">
        <v>304</v>
      </c>
      <c r="J51" s="133" t="s">
        <v>303</v>
      </c>
      <c r="K51" s="136">
        <v>15.3</v>
      </c>
      <c r="L51" s="136">
        <v>2.2999999999999998</v>
      </c>
      <c r="M51" s="133" t="s">
        <v>241</v>
      </c>
      <c r="N51" s="137">
        <v>156</v>
      </c>
      <c r="O51" s="138">
        <v>8.5</v>
      </c>
      <c r="P51" s="138">
        <v>0</v>
      </c>
      <c r="Q51" s="139">
        <v>0</v>
      </c>
      <c r="R51" s="161">
        <v>101</v>
      </c>
      <c r="S51" s="135">
        <v>2.9</v>
      </c>
      <c r="T51" s="133" t="s">
        <v>270</v>
      </c>
      <c r="U51" s="133" t="s">
        <v>305</v>
      </c>
    </row>
    <row r="52" spans="1:21" s="133" customFormat="1" ht="28.8" x14ac:dyDescent="0.3">
      <c r="A52" s="132">
        <v>45771</v>
      </c>
      <c r="B52" s="141" t="s">
        <v>309</v>
      </c>
      <c r="C52" s="133" t="s">
        <v>302</v>
      </c>
      <c r="D52" s="133" t="s">
        <v>294</v>
      </c>
      <c r="E52" s="133" t="s">
        <v>307</v>
      </c>
      <c r="F52" s="133" t="s">
        <v>291</v>
      </c>
      <c r="G52" s="119">
        <v>55</v>
      </c>
      <c r="H52" s="134">
        <v>31</v>
      </c>
      <c r="I52" s="133" t="s">
        <v>310</v>
      </c>
      <c r="J52" s="133" t="s">
        <v>240</v>
      </c>
      <c r="K52" s="136">
        <v>7.5</v>
      </c>
      <c r="L52" s="136">
        <v>2.6</v>
      </c>
      <c r="M52" s="133" t="s">
        <v>240</v>
      </c>
      <c r="N52" s="137">
        <v>6</v>
      </c>
      <c r="O52" s="138">
        <v>0.1</v>
      </c>
      <c r="P52" s="138">
        <v>0</v>
      </c>
      <c r="Q52" s="139">
        <v>0</v>
      </c>
      <c r="R52" s="161">
        <v>56</v>
      </c>
      <c r="S52" s="135">
        <v>1.6</v>
      </c>
      <c r="T52" s="133" t="s">
        <v>270</v>
      </c>
    </row>
    <row r="53" spans="1:21" s="133" customFormat="1" ht="28.8" x14ac:dyDescent="0.3">
      <c r="A53" s="132">
        <v>45772</v>
      </c>
      <c r="B53" s="141" t="s">
        <v>313</v>
      </c>
      <c r="C53" s="133" t="s">
        <v>267</v>
      </c>
      <c r="D53" s="133" t="s">
        <v>268</v>
      </c>
      <c r="E53" s="133" t="s">
        <v>307</v>
      </c>
      <c r="F53" s="133" t="s">
        <v>291</v>
      </c>
      <c r="G53" s="119"/>
      <c r="H53" s="134"/>
      <c r="I53" s="133" t="s">
        <v>311</v>
      </c>
      <c r="J53" s="133" t="s">
        <v>312</v>
      </c>
      <c r="K53" s="136">
        <v>7.5</v>
      </c>
      <c r="L53" s="136">
        <v>1.4</v>
      </c>
      <c r="M53" s="133" t="s">
        <v>241</v>
      </c>
      <c r="N53" s="137">
        <v>96</v>
      </c>
      <c r="O53" s="138">
        <v>15</v>
      </c>
      <c r="P53" s="138">
        <v>0</v>
      </c>
      <c r="Q53" s="139">
        <v>0</v>
      </c>
      <c r="R53" s="161">
        <v>258</v>
      </c>
      <c r="S53" s="135">
        <v>1.3</v>
      </c>
      <c r="T53" s="133" t="s">
        <v>270</v>
      </c>
    </row>
    <row r="54" spans="1:21" s="133" customFormat="1" x14ac:dyDescent="0.3">
      <c r="A54" s="132"/>
      <c r="B54" s="141"/>
      <c r="G54" s="119"/>
      <c r="H54" s="134"/>
      <c r="K54" s="136"/>
      <c r="L54" s="136"/>
      <c r="N54" s="137"/>
      <c r="O54" s="138"/>
      <c r="P54" s="138"/>
      <c r="Q54" s="139"/>
      <c r="R54" s="161"/>
      <c r="S54" s="135"/>
    </row>
    <row r="55" spans="1:21" s="133" customFormat="1" x14ac:dyDescent="0.3">
      <c r="A55" s="132"/>
      <c r="G55" s="119"/>
      <c r="H55" s="134"/>
      <c r="K55" s="136"/>
      <c r="L55" s="136"/>
      <c r="N55" s="137"/>
      <c r="O55" s="138"/>
      <c r="P55" s="138"/>
      <c r="Q55" s="139"/>
      <c r="R55" s="161"/>
      <c r="S55" s="135"/>
    </row>
    <row r="56" spans="1:21" x14ac:dyDescent="0.3">
      <c r="A56" s="117"/>
      <c r="H56" s="119"/>
      <c r="K56" s="121"/>
      <c r="L56" s="121"/>
      <c r="N56" s="122"/>
      <c r="O56" s="123"/>
      <c r="P56" s="123"/>
      <c r="Q56" s="124"/>
      <c r="R56" s="158"/>
      <c r="S56" s="120"/>
    </row>
    <row r="57" spans="1:21" x14ac:dyDescent="0.3">
      <c r="A57" s="117"/>
      <c r="C57" s="51" t="s">
        <v>137</v>
      </c>
      <c r="D57" s="51"/>
      <c r="H57" s="118">
        <f>COUNTIF(T48:T56,"*áno*")</f>
        <v>6</v>
      </c>
      <c r="K57" s="121"/>
      <c r="L57" s="121"/>
      <c r="N57" s="122"/>
      <c r="O57" s="123"/>
      <c r="P57" s="123"/>
      <c r="Q57" s="124"/>
      <c r="R57" s="158"/>
      <c r="S57" s="120"/>
    </row>
    <row r="58" spans="1:21" x14ac:dyDescent="0.3">
      <c r="A58" s="117"/>
      <c r="C58" s="51" t="s">
        <v>138</v>
      </c>
      <c r="D58" s="51"/>
      <c r="H58" s="118">
        <f>COUNTIF(E48:E56,"*w*")</f>
        <v>5</v>
      </c>
      <c r="K58" s="121"/>
      <c r="L58" s="121"/>
      <c r="N58" s="122"/>
      <c r="O58" s="123"/>
      <c r="P58" s="123"/>
      <c r="Q58" s="124"/>
      <c r="R58" s="158"/>
      <c r="S58" s="120"/>
    </row>
    <row r="59" spans="1:21" x14ac:dyDescent="0.3">
      <c r="A59" s="117"/>
      <c r="C59" s="51" t="s">
        <v>139</v>
      </c>
      <c r="D59" s="51"/>
      <c r="H59" s="118">
        <f>COUNTIF(E48:E56,"*P*")</f>
        <v>4</v>
      </c>
      <c r="K59" s="121"/>
      <c r="L59" s="121"/>
      <c r="N59" s="122"/>
      <c r="O59" s="123"/>
      <c r="P59" s="123"/>
      <c r="Q59" s="124"/>
      <c r="R59" s="158"/>
      <c r="S59" s="120"/>
    </row>
    <row r="60" spans="1:21" x14ac:dyDescent="0.3">
      <c r="A60" s="117"/>
      <c r="C60" s="51" t="s">
        <v>140</v>
      </c>
      <c r="D60" s="51"/>
      <c r="H60" s="118">
        <f>COUNTIF(E48:E56,"*L*")</f>
        <v>0</v>
      </c>
      <c r="K60" s="121"/>
      <c r="L60" s="121"/>
      <c r="N60" s="122"/>
      <c r="O60" s="123"/>
      <c r="P60" s="123"/>
      <c r="Q60" s="124"/>
      <c r="R60" s="158"/>
      <c r="S60" s="120"/>
    </row>
    <row r="61" spans="1:21" x14ac:dyDescent="0.3">
      <c r="A61" s="117"/>
      <c r="C61" s="51" t="s">
        <v>141</v>
      </c>
      <c r="D61" s="51"/>
      <c r="H61" s="118">
        <f>COUNTIF(E48:E56,"*V*")</f>
        <v>2</v>
      </c>
      <c r="K61" s="121"/>
      <c r="L61" s="121"/>
      <c r="N61" s="122"/>
      <c r="O61" s="123"/>
      <c r="P61" s="123"/>
      <c r="Q61" s="124"/>
      <c r="R61" s="158"/>
      <c r="S61" s="120"/>
    </row>
    <row r="62" spans="1:21" x14ac:dyDescent="0.3">
      <c r="A62" s="117"/>
      <c r="C62" s="51"/>
      <c r="D62" s="51"/>
      <c r="K62" s="121"/>
      <c r="L62" s="121"/>
      <c r="N62" s="122"/>
      <c r="O62" s="123"/>
      <c r="P62" s="123"/>
      <c r="Q62" s="124"/>
      <c r="R62" s="158"/>
      <c r="S62" s="120"/>
    </row>
    <row r="63" spans="1:21" x14ac:dyDescent="0.3">
      <c r="A63" s="117"/>
      <c r="C63" s="51" t="s">
        <v>142</v>
      </c>
      <c r="D63" s="51"/>
      <c r="H63" s="118">
        <f>COUNTIF(E48:E56,"*D*")</f>
        <v>6</v>
      </c>
      <c r="K63" s="121"/>
      <c r="L63" s="121"/>
      <c r="N63" s="122"/>
      <c r="O63" s="123"/>
      <c r="P63" s="123"/>
      <c r="Q63" s="124"/>
      <c r="R63" s="158"/>
      <c r="S63" s="120"/>
    </row>
    <row r="64" spans="1:21" x14ac:dyDescent="0.3">
      <c r="A64" s="117"/>
      <c r="C64" s="51" t="s">
        <v>143</v>
      </c>
      <c r="D64" s="51"/>
      <c r="H64" s="118">
        <f>COUNTIF(E48:E56,"*S*")</f>
        <v>0</v>
      </c>
      <c r="K64" s="121"/>
      <c r="L64" s="121"/>
      <c r="N64" s="122"/>
      <c r="O64" s="123"/>
      <c r="P64" s="123"/>
      <c r="Q64" s="124"/>
      <c r="R64" s="158"/>
      <c r="S64" s="120"/>
    </row>
    <row r="65" spans="1:19" x14ac:dyDescent="0.3">
      <c r="A65" s="117"/>
      <c r="C65" s="51" t="s">
        <v>144</v>
      </c>
      <c r="D65" s="51"/>
      <c r="H65" s="118">
        <f>COUNTIF(E48:E56,"*K*")</f>
        <v>0</v>
      </c>
      <c r="K65" s="121"/>
      <c r="L65" s="121"/>
      <c r="N65" s="122"/>
      <c r="O65" s="123"/>
      <c r="P65" s="123"/>
      <c r="Q65" s="124"/>
      <c r="R65" s="158"/>
      <c r="S65" s="120"/>
    </row>
    <row r="66" spans="1:19" ht="15" thickBot="1" x14ac:dyDescent="0.35">
      <c r="A66" s="117"/>
      <c r="C66" s="51" t="s">
        <v>145</v>
      </c>
      <c r="D66" s="51"/>
      <c r="H66" s="118">
        <f>COUNTIF(E48:E56,"*Z*")</f>
        <v>6</v>
      </c>
      <c r="K66" s="121"/>
      <c r="L66" s="121"/>
      <c r="N66" s="122"/>
      <c r="O66" s="123"/>
      <c r="P66" s="123"/>
      <c r="Q66" s="124"/>
      <c r="R66" s="158"/>
      <c r="S66" s="120"/>
    </row>
    <row r="67" spans="1:19" s="113" customFormat="1" ht="16.2" thickBot="1" x14ac:dyDescent="0.35">
      <c r="A67" s="125" t="s">
        <v>106</v>
      </c>
      <c r="G67" s="119"/>
      <c r="H67" s="114"/>
      <c r="K67" s="127"/>
      <c r="L67" s="127"/>
      <c r="N67" s="128"/>
      <c r="O67" s="129"/>
      <c r="P67" s="129"/>
      <c r="Q67" s="130"/>
      <c r="R67" s="160"/>
      <c r="S67" s="126"/>
    </row>
    <row r="68" spans="1:19" x14ac:dyDescent="0.3">
      <c r="A68" s="117"/>
      <c r="B68" s="284"/>
      <c r="H68" s="119"/>
      <c r="K68" s="121"/>
      <c r="L68" s="121"/>
      <c r="N68" s="122"/>
      <c r="O68" s="123"/>
      <c r="P68" s="123"/>
      <c r="Q68" s="124"/>
      <c r="R68" s="158"/>
      <c r="S68" s="120"/>
    </row>
    <row r="69" spans="1:19" x14ac:dyDescent="0.3">
      <c r="A69" s="117"/>
      <c r="B69" s="284"/>
      <c r="H69" s="119"/>
      <c r="K69" s="121"/>
      <c r="L69" s="121"/>
      <c r="N69" s="122"/>
      <c r="O69" s="123"/>
      <c r="P69" s="123"/>
      <c r="Q69" s="124"/>
      <c r="R69" s="158"/>
      <c r="S69" s="120"/>
    </row>
    <row r="70" spans="1:19" x14ac:dyDescent="0.3">
      <c r="A70" s="117"/>
      <c r="B70" s="284"/>
      <c r="H70" s="119"/>
      <c r="K70" s="121"/>
      <c r="L70" s="121"/>
      <c r="N70" s="122"/>
      <c r="O70" s="123"/>
      <c r="P70" s="123"/>
      <c r="Q70" s="124"/>
      <c r="R70" s="158"/>
      <c r="S70" s="120"/>
    </row>
    <row r="71" spans="1:19" x14ac:dyDescent="0.3">
      <c r="A71" s="117"/>
      <c r="B71" s="284"/>
      <c r="H71" s="119"/>
      <c r="K71" s="121"/>
      <c r="L71" s="121"/>
      <c r="N71" s="122"/>
      <c r="O71" s="123"/>
      <c r="P71" s="123"/>
      <c r="Q71" s="124"/>
      <c r="R71" s="158"/>
      <c r="S71" s="120"/>
    </row>
    <row r="72" spans="1:19" x14ac:dyDescent="0.3">
      <c r="A72" s="117"/>
      <c r="B72" s="284"/>
      <c r="H72" s="119"/>
      <c r="K72" s="121"/>
      <c r="L72" s="121"/>
      <c r="N72" s="122"/>
      <c r="O72" s="123"/>
      <c r="P72" s="123"/>
      <c r="Q72" s="124"/>
      <c r="R72" s="158"/>
      <c r="S72" s="120"/>
    </row>
    <row r="73" spans="1:19" x14ac:dyDescent="0.3">
      <c r="A73" s="117"/>
      <c r="B73" s="284"/>
      <c r="H73" s="119"/>
      <c r="K73" s="121"/>
      <c r="L73" s="121"/>
      <c r="N73" s="122"/>
      <c r="O73" s="123"/>
      <c r="P73" s="123"/>
      <c r="Q73" s="124"/>
      <c r="R73" s="158"/>
      <c r="S73" s="120"/>
    </row>
    <row r="74" spans="1:19" x14ac:dyDescent="0.3">
      <c r="A74" s="117"/>
      <c r="B74" s="284"/>
      <c r="H74" s="119"/>
      <c r="K74" s="121"/>
      <c r="L74" s="121"/>
      <c r="N74" s="122"/>
      <c r="O74" s="123"/>
      <c r="P74" s="123"/>
      <c r="Q74" s="124"/>
      <c r="R74" s="158"/>
      <c r="S74" s="120"/>
    </row>
    <row r="75" spans="1:19" x14ac:dyDescent="0.3">
      <c r="A75" s="117"/>
      <c r="H75" s="119"/>
      <c r="K75" s="121"/>
      <c r="L75" s="121"/>
      <c r="N75" s="122"/>
      <c r="O75" s="123"/>
      <c r="P75" s="123"/>
      <c r="Q75" s="124"/>
      <c r="R75" s="158"/>
      <c r="S75" s="120"/>
    </row>
    <row r="76" spans="1:19" x14ac:dyDescent="0.3">
      <c r="A76" s="117"/>
      <c r="H76" s="119"/>
      <c r="K76" s="121"/>
      <c r="L76" s="121"/>
      <c r="N76" s="122"/>
      <c r="O76" s="123"/>
      <c r="P76" s="123"/>
      <c r="Q76" s="124"/>
      <c r="R76" s="158"/>
      <c r="S76" s="120"/>
    </row>
    <row r="77" spans="1:19" x14ac:dyDescent="0.3">
      <c r="A77" s="117"/>
      <c r="C77" s="51" t="s">
        <v>137</v>
      </c>
      <c r="D77" s="51"/>
      <c r="H77" s="118">
        <f>COUNTIF(T68:T76,"*áno*")</f>
        <v>0</v>
      </c>
      <c r="K77" s="121"/>
      <c r="L77" s="121"/>
      <c r="N77" s="122"/>
      <c r="O77" s="123"/>
      <c r="P77" s="123"/>
      <c r="Q77" s="124"/>
      <c r="R77" s="158"/>
      <c r="S77" s="120"/>
    </row>
    <row r="78" spans="1:19" x14ac:dyDescent="0.3">
      <c r="A78" s="117"/>
      <c r="C78" s="51" t="s">
        <v>138</v>
      </c>
      <c r="D78" s="51"/>
      <c r="H78" s="118">
        <f>COUNTIF(E68:E76,"*w*")</f>
        <v>0</v>
      </c>
      <c r="K78" s="121"/>
      <c r="L78" s="121"/>
      <c r="N78" s="122"/>
      <c r="O78" s="123"/>
      <c r="P78" s="123"/>
      <c r="Q78" s="124"/>
      <c r="R78" s="158"/>
      <c r="S78" s="120"/>
    </row>
    <row r="79" spans="1:19" x14ac:dyDescent="0.3">
      <c r="A79" s="117"/>
      <c r="C79" s="51" t="s">
        <v>139</v>
      </c>
      <c r="D79" s="51"/>
      <c r="H79" s="118">
        <f>COUNTIF(E68:E76,"*P*")</f>
        <v>0</v>
      </c>
      <c r="K79" s="121"/>
      <c r="L79" s="121"/>
      <c r="N79" s="122"/>
      <c r="O79" s="123"/>
      <c r="P79" s="123"/>
      <c r="Q79" s="124"/>
      <c r="R79" s="158"/>
      <c r="S79" s="120"/>
    </row>
    <row r="80" spans="1:19" x14ac:dyDescent="0.3">
      <c r="A80" s="117"/>
      <c r="C80" s="51" t="s">
        <v>140</v>
      </c>
      <c r="D80" s="51"/>
      <c r="H80" s="118">
        <f>COUNTIF(E68:E76,"*L*")</f>
        <v>0</v>
      </c>
      <c r="K80" s="121"/>
      <c r="L80" s="121"/>
      <c r="N80" s="122"/>
      <c r="O80" s="123"/>
      <c r="P80" s="123"/>
      <c r="Q80" s="124"/>
      <c r="R80" s="158"/>
      <c r="S80" s="120"/>
    </row>
    <row r="81" spans="1:19" x14ac:dyDescent="0.3">
      <c r="A81" s="117"/>
      <c r="C81" s="51" t="s">
        <v>141</v>
      </c>
      <c r="D81" s="51"/>
      <c r="H81" s="118">
        <f>COUNTIF(E68:E76,"*V*")</f>
        <v>0</v>
      </c>
      <c r="K81" s="121"/>
      <c r="L81" s="121"/>
      <c r="N81" s="122"/>
      <c r="O81" s="123"/>
      <c r="P81" s="123"/>
      <c r="Q81" s="124"/>
      <c r="R81" s="158"/>
      <c r="S81" s="120"/>
    </row>
    <row r="82" spans="1:19" x14ac:dyDescent="0.3">
      <c r="A82" s="117"/>
      <c r="C82" s="51"/>
      <c r="D82" s="51"/>
      <c r="K82" s="121"/>
      <c r="L82" s="121"/>
      <c r="N82" s="122"/>
      <c r="O82" s="123"/>
      <c r="P82" s="123"/>
      <c r="Q82" s="124"/>
      <c r="R82" s="158"/>
      <c r="S82" s="120"/>
    </row>
    <row r="83" spans="1:19" x14ac:dyDescent="0.3">
      <c r="A83" s="117"/>
      <c r="C83" s="51" t="s">
        <v>142</v>
      </c>
      <c r="D83" s="51"/>
      <c r="H83" s="118">
        <f>COUNTIF(E68:E76,"*D*")</f>
        <v>0</v>
      </c>
      <c r="K83" s="121"/>
      <c r="L83" s="121"/>
      <c r="N83" s="122"/>
      <c r="O83" s="123"/>
      <c r="P83" s="123"/>
      <c r="Q83" s="124"/>
      <c r="R83" s="158"/>
      <c r="S83" s="120"/>
    </row>
    <row r="84" spans="1:19" x14ac:dyDescent="0.3">
      <c r="A84" s="117"/>
      <c r="C84" s="51" t="s">
        <v>143</v>
      </c>
      <c r="D84" s="51"/>
      <c r="H84" s="118">
        <f>COUNTIF(E68:E76,"*S*")</f>
        <v>0</v>
      </c>
      <c r="K84" s="121"/>
      <c r="L84" s="121"/>
      <c r="N84" s="122"/>
      <c r="O84" s="123"/>
      <c r="P84" s="123"/>
      <c r="Q84" s="124"/>
      <c r="R84" s="158"/>
      <c r="S84" s="120"/>
    </row>
    <row r="85" spans="1:19" x14ac:dyDescent="0.3">
      <c r="A85" s="117"/>
      <c r="C85" s="51" t="s">
        <v>144</v>
      </c>
      <c r="D85" s="51"/>
      <c r="H85" s="118">
        <f>COUNTIF(E68:E76,"*K*")</f>
        <v>0</v>
      </c>
      <c r="K85" s="121"/>
      <c r="L85" s="121"/>
      <c r="N85" s="122"/>
      <c r="O85" s="123"/>
      <c r="P85" s="123"/>
      <c r="Q85" s="124"/>
      <c r="R85" s="158"/>
      <c r="S85" s="120"/>
    </row>
    <row r="86" spans="1:19" s="133" customFormat="1" ht="15" thickBot="1" x14ac:dyDescent="0.35">
      <c r="A86" s="132"/>
      <c r="C86" s="144" t="s">
        <v>145</v>
      </c>
      <c r="D86" s="144"/>
      <c r="G86" s="134"/>
      <c r="H86" s="133">
        <f>COUNTIF(E68:E76,"*Z*")</f>
        <v>0</v>
      </c>
      <c r="K86" s="136"/>
      <c r="L86" s="136"/>
      <c r="N86" s="137"/>
      <c r="O86" s="138"/>
      <c r="P86" s="138"/>
      <c r="Q86" s="139"/>
      <c r="R86" s="161"/>
      <c r="S86" s="135"/>
    </row>
    <row r="87" spans="1:19" s="113" customFormat="1" ht="16.2" thickBot="1" x14ac:dyDescent="0.35">
      <c r="A87" s="125" t="s">
        <v>110</v>
      </c>
      <c r="G87" s="149"/>
      <c r="H87" s="114"/>
      <c r="K87" s="127"/>
      <c r="L87" s="127"/>
      <c r="N87" s="128"/>
      <c r="O87" s="129"/>
      <c r="P87" s="129"/>
      <c r="Q87" s="130"/>
      <c r="R87" s="160"/>
      <c r="S87" s="126"/>
    </row>
    <row r="88" spans="1:19" s="347" customFormat="1" x14ac:dyDescent="0.3">
      <c r="A88" s="345"/>
      <c r="B88" s="346"/>
      <c r="G88" s="348"/>
      <c r="H88" s="349"/>
      <c r="K88" s="350"/>
      <c r="L88" s="350"/>
      <c r="N88" s="351"/>
      <c r="O88" s="352"/>
      <c r="P88" s="352"/>
      <c r="Q88" s="353"/>
      <c r="R88" s="354"/>
      <c r="S88" s="355"/>
    </row>
    <row r="89" spans="1:19" s="133" customFormat="1" x14ac:dyDescent="0.3">
      <c r="A89" s="132"/>
      <c r="B89" s="141"/>
      <c r="G89" s="119"/>
      <c r="H89" s="134"/>
      <c r="K89" s="136"/>
      <c r="L89" s="136"/>
      <c r="N89" s="137"/>
      <c r="O89" s="138"/>
      <c r="P89" s="138"/>
      <c r="Q89" s="139"/>
      <c r="R89" s="161"/>
      <c r="S89" s="135"/>
    </row>
    <row r="90" spans="1:19" s="133" customFormat="1" x14ac:dyDescent="0.3">
      <c r="A90" s="132"/>
      <c r="B90" s="141"/>
      <c r="G90" s="119"/>
      <c r="H90" s="134"/>
      <c r="K90" s="136"/>
      <c r="L90" s="136"/>
      <c r="N90" s="137"/>
      <c r="O90" s="138"/>
      <c r="P90" s="138"/>
      <c r="Q90" s="139"/>
      <c r="R90" s="161"/>
      <c r="S90" s="135"/>
    </row>
    <row r="91" spans="1:19" s="133" customFormat="1" x14ac:dyDescent="0.3">
      <c r="A91" s="132"/>
      <c r="B91" s="141"/>
      <c r="G91" s="119"/>
      <c r="H91" s="134"/>
      <c r="K91" s="136"/>
      <c r="L91" s="136"/>
      <c r="N91" s="137"/>
      <c r="O91" s="138"/>
      <c r="P91" s="138"/>
      <c r="Q91" s="139"/>
      <c r="R91" s="161"/>
      <c r="S91" s="135"/>
    </row>
    <row r="92" spans="1:19" s="133" customFormat="1" x14ac:dyDescent="0.3">
      <c r="A92" s="132"/>
      <c r="B92" s="141"/>
      <c r="G92" s="119"/>
      <c r="H92" s="134"/>
      <c r="K92" s="136"/>
      <c r="L92" s="136"/>
      <c r="N92" s="137"/>
      <c r="O92" s="138"/>
      <c r="P92" s="138"/>
      <c r="Q92" s="139"/>
      <c r="R92" s="161"/>
      <c r="S92" s="135"/>
    </row>
    <row r="93" spans="1:19" s="133" customFormat="1" x14ac:dyDescent="0.3">
      <c r="A93" s="132"/>
      <c r="B93" s="141"/>
      <c r="G93" s="119"/>
      <c r="H93" s="134"/>
      <c r="K93" s="136"/>
      <c r="L93" s="136"/>
      <c r="N93" s="137"/>
      <c r="O93" s="138"/>
      <c r="P93" s="138"/>
      <c r="Q93" s="139"/>
      <c r="R93" s="161"/>
      <c r="S93" s="135"/>
    </row>
    <row r="94" spans="1:19" s="133" customFormat="1" x14ac:dyDescent="0.3">
      <c r="A94" s="132"/>
      <c r="G94" s="119"/>
      <c r="H94" s="134"/>
      <c r="K94" s="136"/>
      <c r="L94" s="136"/>
      <c r="N94" s="137"/>
      <c r="O94" s="138"/>
      <c r="P94" s="138"/>
      <c r="Q94" s="139"/>
      <c r="R94" s="161"/>
      <c r="S94" s="135"/>
    </row>
    <row r="95" spans="1:19" s="133" customFormat="1" x14ac:dyDescent="0.3">
      <c r="A95" s="132"/>
      <c r="B95" s="141"/>
      <c r="G95" s="119"/>
      <c r="H95" s="134"/>
      <c r="K95" s="136"/>
      <c r="L95" s="136"/>
      <c r="N95" s="137"/>
      <c r="O95" s="138"/>
      <c r="P95" s="138"/>
      <c r="Q95" s="139"/>
      <c r="R95" s="161"/>
      <c r="S95" s="135"/>
    </row>
    <row r="96" spans="1:19" s="133" customFormat="1" x14ac:dyDescent="0.3">
      <c r="A96" s="132"/>
      <c r="B96" s="141"/>
      <c r="G96" s="119"/>
      <c r="H96" s="134"/>
      <c r="K96" s="136"/>
      <c r="L96" s="136"/>
      <c r="N96" s="137"/>
      <c r="O96" s="138"/>
      <c r="P96" s="138"/>
      <c r="Q96" s="139"/>
      <c r="R96" s="161"/>
      <c r="S96" s="135"/>
    </row>
    <row r="97" spans="1:19" s="133" customFormat="1" x14ac:dyDescent="0.3">
      <c r="A97" s="132"/>
      <c r="B97" s="141"/>
      <c r="G97" s="119"/>
      <c r="H97" s="134"/>
      <c r="K97" s="136"/>
      <c r="L97" s="136"/>
      <c r="N97" s="137"/>
      <c r="O97" s="138"/>
      <c r="P97" s="138"/>
      <c r="Q97" s="139"/>
      <c r="R97" s="161"/>
      <c r="S97" s="135"/>
    </row>
    <row r="98" spans="1:19" s="133" customFormat="1" x14ac:dyDescent="0.3">
      <c r="A98" s="132"/>
      <c r="B98" s="141"/>
      <c r="G98" s="119"/>
      <c r="H98" s="134"/>
      <c r="K98" s="136"/>
      <c r="L98" s="136"/>
      <c r="N98" s="137"/>
      <c r="O98" s="138"/>
      <c r="P98" s="138"/>
      <c r="Q98" s="139"/>
      <c r="R98" s="161"/>
      <c r="S98" s="135"/>
    </row>
    <row r="99" spans="1:19" s="133" customFormat="1" x14ac:dyDescent="0.3">
      <c r="A99" s="132"/>
      <c r="B99" s="141"/>
      <c r="G99" s="119"/>
      <c r="H99" s="134"/>
      <c r="K99" s="136"/>
      <c r="L99" s="136"/>
      <c r="N99" s="137"/>
      <c r="O99" s="138"/>
      <c r="P99" s="138"/>
      <c r="Q99" s="139"/>
      <c r="R99" s="161"/>
      <c r="S99" s="135"/>
    </row>
    <row r="100" spans="1:19" s="133" customFormat="1" x14ac:dyDescent="0.3">
      <c r="A100" s="132"/>
      <c r="B100" s="141"/>
      <c r="G100" s="119"/>
      <c r="H100" s="134"/>
      <c r="K100" s="136"/>
      <c r="L100" s="136"/>
      <c r="N100" s="137"/>
      <c r="O100" s="138"/>
      <c r="P100" s="138"/>
      <c r="Q100" s="139"/>
      <c r="R100" s="161"/>
      <c r="S100" s="135"/>
    </row>
    <row r="101" spans="1:19" s="133" customFormat="1" x14ac:dyDescent="0.3">
      <c r="A101" s="132"/>
      <c r="B101" s="141"/>
      <c r="G101" s="119"/>
      <c r="H101" s="134"/>
      <c r="K101" s="136"/>
      <c r="L101" s="136"/>
      <c r="N101" s="137"/>
      <c r="O101" s="138"/>
      <c r="P101" s="138"/>
      <c r="Q101" s="139"/>
      <c r="R101" s="161"/>
      <c r="S101" s="135"/>
    </row>
    <row r="102" spans="1:19" s="133" customFormat="1" x14ac:dyDescent="0.3">
      <c r="A102" s="132"/>
      <c r="B102" s="141"/>
      <c r="G102" s="119"/>
      <c r="H102" s="134"/>
      <c r="K102" s="136"/>
      <c r="L102" s="136"/>
      <c r="N102" s="137"/>
      <c r="O102" s="138"/>
      <c r="P102" s="138"/>
      <c r="Q102" s="139"/>
      <c r="R102" s="161"/>
      <c r="S102" s="135"/>
    </row>
    <row r="103" spans="1:19" s="133" customFormat="1" x14ac:dyDescent="0.3">
      <c r="A103" s="132"/>
      <c r="B103" s="141"/>
      <c r="G103" s="119"/>
      <c r="H103" s="134"/>
      <c r="K103" s="136"/>
      <c r="L103" s="136"/>
      <c r="N103" s="137"/>
      <c r="O103" s="138"/>
      <c r="P103" s="138"/>
      <c r="Q103" s="139"/>
      <c r="R103" s="161"/>
      <c r="S103" s="135"/>
    </row>
    <row r="104" spans="1:19" s="133" customFormat="1" x14ac:dyDescent="0.3">
      <c r="A104" s="132"/>
      <c r="B104" s="141"/>
      <c r="G104" s="119"/>
      <c r="H104" s="134"/>
      <c r="K104" s="136"/>
      <c r="L104" s="136"/>
      <c r="N104" s="137"/>
      <c r="O104" s="138"/>
      <c r="P104" s="138"/>
      <c r="Q104" s="139"/>
      <c r="R104" s="161"/>
      <c r="S104" s="135"/>
    </row>
    <row r="105" spans="1:19" s="133" customFormat="1" x14ac:dyDescent="0.3">
      <c r="A105" s="132"/>
      <c r="B105" s="141"/>
      <c r="G105" s="119"/>
      <c r="H105" s="134"/>
      <c r="K105" s="136"/>
      <c r="L105" s="136"/>
      <c r="N105" s="137"/>
      <c r="O105" s="138"/>
      <c r="P105" s="138"/>
      <c r="Q105" s="139"/>
      <c r="R105" s="161"/>
      <c r="S105" s="135"/>
    </row>
    <row r="106" spans="1:19" s="133" customFormat="1" x14ac:dyDescent="0.3">
      <c r="A106" s="132"/>
      <c r="B106" s="141"/>
      <c r="G106" s="119"/>
      <c r="H106" s="134"/>
      <c r="K106" s="136"/>
      <c r="L106" s="136"/>
      <c r="N106" s="137"/>
      <c r="O106" s="138"/>
      <c r="P106" s="138"/>
      <c r="Q106" s="139"/>
      <c r="R106" s="161"/>
      <c r="S106" s="135"/>
    </row>
    <row r="107" spans="1:19" s="133" customFormat="1" x14ac:dyDescent="0.3">
      <c r="A107" s="132"/>
      <c r="C107" s="51" t="s">
        <v>137</v>
      </c>
      <c r="D107" s="51"/>
      <c r="E107" s="118"/>
      <c r="F107" s="118"/>
      <c r="G107" s="119"/>
      <c r="H107" s="118">
        <f>COUNTIF(T88:T106,"*áno*")</f>
        <v>0</v>
      </c>
      <c r="K107" s="136"/>
      <c r="L107" s="136"/>
      <c r="N107" s="137"/>
      <c r="O107" s="138"/>
      <c r="P107" s="138"/>
      <c r="Q107" s="139"/>
      <c r="R107" s="161"/>
      <c r="S107" s="135"/>
    </row>
    <row r="108" spans="1:19" s="133" customFormat="1" x14ac:dyDescent="0.3">
      <c r="A108" s="132"/>
      <c r="C108" s="51" t="s">
        <v>138</v>
      </c>
      <c r="D108" s="51"/>
      <c r="E108" s="118"/>
      <c r="F108" s="118"/>
      <c r="G108" s="119"/>
      <c r="H108" s="118">
        <f>COUNTIF(E88:E106,"*w*")</f>
        <v>0</v>
      </c>
      <c r="K108" s="136"/>
      <c r="L108" s="136"/>
      <c r="N108" s="137"/>
      <c r="O108" s="138"/>
      <c r="P108" s="138"/>
      <c r="Q108" s="139"/>
      <c r="R108" s="161"/>
      <c r="S108" s="135"/>
    </row>
    <row r="109" spans="1:19" s="133" customFormat="1" x14ac:dyDescent="0.3">
      <c r="A109" s="132"/>
      <c r="C109" s="51" t="s">
        <v>139</v>
      </c>
      <c r="D109" s="51"/>
      <c r="E109" s="118"/>
      <c r="F109" s="118"/>
      <c r="G109" s="119"/>
      <c r="H109" s="118">
        <f>COUNTIF(E88:E106,"*P*")</f>
        <v>0</v>
      </c>
      <c r="K109" s="136"/>
      <c r="L109" s="136"/>
      <c r="N109" s="137"/>
      <c r="O109" s="138"/>
      <c r="P109" s="138"/>
      <c r="Q109" s="139"/>
      <c r="R109" s="161"/>
      <c r="S109" s="135"/>
    </row>
    <row r="110" spans="1:19" s="133" customFormat="1" x14ac:dyDescent="0.3">
      <c r="A110" s="132"/>
      <c r="C110" s="51" t="s">
        <v>140</v>
      </c>
      <c r="D110" s="51"/>
      <c r="E110" s="118"/>
      <c r="F110" s="118"/>
      <c r="G110" s="119"/>
      <c r="H110" s="118">
        <f>COUNTIF(E88:E106,"*L*")</f>
        <v>0</v>
      </c>
      <c r="K110" s="136"/>
      <c r="L110" s="136"/>
      <c r="N110" s="137"/>
      <c r="O110" s="138"/>
      <c r="P110" s="138"/>
      <c r="Q110" s="139"/>
      <c r="R110" s="161"/>
      <c r="S110" s="135"/>
    </row>
    <row r="111" spans="1:19" s="133" customFormat="1" x14ac:dyDescent="0.3">
      <c r="A111" s="132"/>
      <c r="C111" s="51" t="s">
        <v>141</v>
      </c>
      <c r="D111" s="51"/>
      <c r="E111" s="118"/>
      <c r="F111" s="118"/>
      <c r="G111" s="119"/>
      <c r="H111" s="118">
        <f>COUNTIF(E88:E106,"*V*")</f>
        <v>0</v>
      </c>
      <c r="K111" s="136"/>
      <c r="L111" s="136"/>
      <c r="N111" s="137"/>
      <c r="O111" s="138"/>
      <c r="P111" s="138"/>
      <c r="Q111" s="139"/>
      <c r="R111" s="161"/>
      <c r="S111" s="135"/>
    </row>
    <row r="112" spans="1:19" s="133" customFormat="1" x14ac:dyDescent="0.3">
      <c r="A112" s="132"/>
      <c r="C112" s="51"/>
      <c r="D112" s="51"/>
      <c r="E112" s="118"/>
      <c r="F112" s="118"/>
      <c r="G112" s="119"/>
      <c r="H112" s="118"/>
      <c r="K112" s="136"/>
      <c r="L112" s="136"/>
      <c r="N112" s="137"/>
      <c r="O112" s="138"/>
      <c r="P112" s="138"/>
      <c r="Q112" s="139"/>
      <c r="R112" s="161"/>
      <c r="S112" s="135"/>
    </row>
    <row r="113" spans="1:19" s="133" customFormat="1" x14ac:dyDescent="0.3">
      <c r="A113" s="132"/>
      <c r="C113" s="51" t="s">
        <v>142</v>
      </c>
      <c r="D113" s="51"/>
      <c r="E113" s="118"/>
      <c r="F113" s="118"/>
      <c r="G113" s="119"/>
      <c r="H113" s="118">
        <f>COUNTIF(E88:E106,"*D*")</f>
        <v>0</v>
      </c>
      <c r="K113" s="136"/>
      <c r="L113" s="136"/>
      <c r="N113" s="137"/>
      <c r="O113" s="138"/>
      <c r="P113" s="138"/>
      <c r="Q113" s="139"/>
      <c r="R113" s="161"/>
      <c r="S113" s="135"/>
    </row>
    <row r="114" spans="1:19" s="133" customFormat="1" x14ac:dyDescent="0.3">
      <c r="A114" s="132"/>
      <c r="C114" s="51" t="s">
        <v>143</v>
      </c>
      <c r="D114" s="51"/>
      <c r="E114" s="118"/>
      <c r="F114" s="118"/>
      <c r="G114" s="119"/>
      <c r="H114" s="118">
        <f>COUNTIF(E88:E106,"*S*")</f>
        <v>0</v>
      </c>
      <c r="K114" s="136"/>
      <c r="L114" s="136"/>
      <c r="N114" s="137"/>
      <c r="O114" s="138"/>
      <c r="P114" s="138"/>
      <c r="Q114" s="139"/>
      <c r="R114" s="161"/>
      <c r="S114" s="135"/>
    </row>
    <row r="115" spans="1:19" s="133" customFormat="1" x14ac:dyDescent="0.3">
      <c r="A115" s="132"/>
      <c r="C115" s="51" t="s">
        <v>144</v>
      </c>
      <c r="D115" s="51"/>
      <c r="E115" s="118"/>
      <c r="F115" s="118"/>
      <c r="G115" s="119"/>
      <c r="H115" s="118">
        <f>COUNTIF(E88:E106,"*K*")</f>
        <v>0</v>
      </c>
      <c r="K115" s="136"/>
      <c r="L115" s="136"/>
      <c r="N115" s="137"/>
      <c r="O115" s="138"/>
      <c r="P115" s="138"/>
      <c r="Q115" s="139"/>
      <c r="R115" s="161"/>
      <c r="S115" s="135"/>
    </row>
    <row r="116" spans="1:19" s="133" customFormat="1" ht="15" thickBot="1" x14ac:dyDescent="0.35">
      <c r="A116" s="132"/>
      <c r="C116" s="144" t="s">
        <v>145</v>
      </c>
      <c r="D116" s="144"/>
      <c r="G116" s="134"/>
      <c r="H116" s="133">
        <f>COUNTIF(E88:E106,"*Z*")</f>
        <v>0</v>
      </c>
      <c r="K116" s="136"/>
      <c r="L116" s="136"/>
      <c r="N116" s="137"/>
      <c r="O116" s="138"/>
      <c r="P116" s="138"/>
      <c r="Q116" s="139"/>
      <c r="R116" s="161"/>
      <c r="S116" s="135"/>
    </row>
    <row r="117" spans="1:19" s="80" customFormat="1" ht="15" thickBot="1" x14ac:dyDescent="0.35">
      <c r="A117" s="148" t="s">
        <v>109</v>
      </c>
      <c r="G117" s="149"/>
      <c r="H117" s="149"/>
      <c r="K117" s="151"/>
      <c r="L117" s="151"/>
      <c r="N117" s="152"/>
      <c r="O117" s="153"/>
      <c r="P117" s="153"/>
      <c r="Q117" s="154"/>
      <c r="R117" s="162"/>
      <c r="S117" s="150"/>
    </row>
    <row r="118" spans="1:19" s="347" customFormat="1" x14ac:dyDescent="0.3">
      <c r="A118" s="345"/>
      <c r="B118" s="346"/>
      <c r="G118" s="348"/>
      <c r="H118" s="405"/>
      <c r="K118" s="350"/>
      <c r="L118" s="350"/>
      <c r="N118" s="351"/>
      <c r="O118" s="352"/>
      <c r="P118" s="352"/>
      <c r="Q118" s="353"/>
      <c r="R118" s="354"/>
      <c r="S118" s="355"/>
    </row>
    <row r="119" spans="1:19" s="133" customFormat="1" x14ac:dyDescent="0.3">
      <c r="A119" s="132"/>
      <c r="B119" s="141"/>
      <c r="G119" s="119"/>
      <c r="H119" s="349"/>
      <c r="K119" s="136"/>
      <c r="L119" s="136"/>
      <c r="N119" s="137"/>
      <c r="O119" s="138"/>
      <c r="P119" s="138"/>
      <c r="Q119" s="139"/>
      <c r="R119" s="161"/>
      <c r="S119" s="135"/>
    </row>
    <row r="120" spans="1:19" s="133" customFormat="1" x14ac:dyDescent="0.3">
      <c r="A120" s="132"/>
      <c r="B120" s="141"/>
      <c r="G120" s="119"/>
      <c r="H120" s="134"/>
      <c r="K120" s="136"/>
      <c r="L120" s="136"/>
      <c r="N120" s="137"/>
      <c r="O120" s="138"/>
      <c r="P120" s="138"/>
      <c r="Q120" s="139"/>
      <c r="R120" s="161"/>
      <c r="S120" s="135"/>
    </row>
    <row r="121" spans="1:19" s="133" customFormat="1" x14ac:dyDescent="0.3">
      <c r="A121" s="132"/>
      <c r="B121" s="141"/>
      <c r="G121" s="119"/>
      <c r="H121" s="134"/>
      <c r="K121" s="136"/>
      <c r="L121" s="136"/>
      <c r="N121" s="137"/>
      <c r="O121" s="138"/>
      <c r="P121" s="138"/>
      <c r="Q121" s="139"/>
      <c r="R121" s="161"/>
      <c r="S121" s="135"/>
    </row>
    <row r="122" spans="1:19" s="133" customFormat="1" x14ac:dyDescent="0.3">
      <c r="A122" s="132"/>
      <c r="B122" s="141"/>
      <c r="G122" s="119"/>
      <c r="H122" s="134"/>
      <c r="K122" s="136"/>
      <c r="L122" s="136"/>
      <c r="N122" s="137"/>
      <c r="O122" s="138"/>
      <c r="P122" s="138"/>
      <c r="Q122" s="139"/>
      <c r="R122" s="161"/>
      <c r="S122" s="135"/>
    </row>
    <row r="123" spans="1:19" s="133" customFormat="1" x14ac:dyDescent="0.3">
      <c r="A123" s="132"/>
      <c r="B123" s="141"/>
      <c r="G123" s="119"/>
      <c r="H123" s="134"/>
      <c r="K123" s="136"/>
      <c r="L123" s="136"/>
      <c r="N123" s="137"/>
      <c r="O123" s="138"/>
      <c r="P123" s="138"/>
      <c r="Q123" s="139"/>
      <c r="R123" s="161"/>
      <c r="S123" s="135"/>
    </row>
    <row r="124" spans="1:19" s="133" customFormat="1" x14ac:dyDescent="0.3">
      <c r="A124" s="132"/>
      <c r="B124" s="141"/>
      <c r="G124" s="119"/>
      <c r="H124" s="134"/>
      <c r="K124" s="136"/>
      <c r="L124" s="136"/>
      <c r="N124" s="137"/>
      <c r="O124" s="138"/>
      <c r="P124" s="138"/>
      <c r="Q124" s="139"/>
      <c r="R124" s="161"/>
      <c r="S124" s="135"/>
    </row>
    <row r="125" spans="1:19" s="133" customFormat="1" x14ac:dyDescent="0.3">
      <c r="A125" s="132"/>
      <c r="B125" s="141"/>
      <c r="G125" s="119"/>
      <c r="H125" s="134"/>
      <c r="K125" s="136"/>
      <c r="L125" s="136"/>
      <c r="N125" s="137"/>
      <c r="O125" s="138"/>
      <c r="P125" s="138"/>
      <c r="Q125" s="139"/>
      <c r="R125" s="161"/>
      <c r="S125" s="135"/>
    </row>
    <row r="126" spans="1:19" s="133" customFormat="1" x14ac:dyDescent="0.3">
      <c r="A126" s="132"/>
      <c r="B126" s="141"/>
      <c r="G126" s="119"/>
      <c r="H126" s="134"/>
      <c r="K126" s="136"/>
      <c r="L126" s="136"/>
      <c r="N126" s="137"/>
      <c r="O126" s="138"/>
      <c r="P126" s="138"/>
      <c r="Q126" s="139"/>
      <c r="R126" s="161"/>
      <c r="S126" s="135"/>
    </row>
    <row r="127" spans="1:19" s="133" customFormat="1" x14ac:dyDescent="0.3">
      <c r="A127" s="132"/>
      <c r="B127" s="141"/>
      <c r="G127" s="119"/>
      <c r="H127" s="134"/>
      <c r="K127" s="136"/>
      <c r="L127" s="136"/>
      <c r="N127" s="137"/>
      <c r="O127" s="138"/>
      <c r="P127" s="138"/>
      <c r="Q127" s="139"/>
      <c r="R127" s="161"/>
      <c r="S127" s="135"/>
    </row>
    <row r="128" spans="1:19" s="133" customFormat="1" x14ac:dyDescent="0.3">
      <c r="A128" s="132"/>
      <c r="B128" s="141"/>
      <c r="G128" s="119"/>
      <c r="H128" s="134"/>
      <c r="K128" s="136"/>
      <c r="L128" s="136"/>
      <c r="N128" s="137"/>
      <c r="O128" s="138"/>
      <c r="P128" s="138"/>
      <c r="Q128" s="139"/>
      <c r="R128" s="161"/>
      <c r="S128" s="135"/>
    </row>
    <row r="129" spans="1:19" s="133" customFormat="1" x14ac:dyDescent="0.3">
      <c r="A129" s="132"/>
      <c r="B129" s="141"/>
      <c r="G129" s="119"/>
      <c r="H129" s="134"/>
      <c r="K129" s="136"/>
      <c r="L129" s="136"/>
      <c r="N129" s="137"/>
      <c r="O129" s="138"/>
      <c r="P129" s="138"/>
      <c r="Q129" s="139"/>
      <c r="R129" s="161"/>
      <c r="S129" s="135"/>
    </row>
    <row r="130" spans="1:19" s="133" customFormat="1" x14ac:dyDescent="0.3">
      <c r="A130" s="132"/>
      <c r="B130" s="141"/>
      <c r="G130" s="119"/>
      <c r="H130" s="134"/>
      <c r="K130" s="136"/>
      <c r="L130" s="136"/>
      <c r="N130" s="137"/>
      <c r="O130" s="138"/>
      <c r="P130" s="138"/>
      <c r="Q130" s="139"/>
      <c r="R130" s="161"/>
      <c r="S130" s="135"/>
    </row>
    <row r="131" spans="1:19" s="133" customFormat="1" x14ac:dyDescent="0.3">
      <c r="A131" s="132"/>
      <c r="B131" s="141"/>
      <c r="G131" s="119"/>
      <c r="H131" s="134"/>
      <c r="K131" s="136"/>
      <c r="L131" s="136"/>
      <c r="N131" s="137"/>
      <c r="O131" s="138"/>
      <c r="P131" s="138"/>
      <c r="Q131" s="139"/>
      <c r="R131" s="161"/>
      <c r="S131" s="135"/>
    </row>
    <row r="132" spans="1:19" s="133" customFormat="1" x14ac:dyDescent="0.3">
      <c r="A132" s="132"/>
      <c r="B132" s="141"/>
      <c r="G132" s="119"/>
      <c r="H132" s="134"/>
      <c r="K132" s="136"/>
      <c r="L132" s="136"/>
      <c r="N132" s="137"/>
      <c r="O132" s="138"/>
      <c r="P132" s="138"/>
      <c r="Q132" s="139"/>
      <c r="R132" s="161"/>
      <c r="S132" s="135"/>
    </row>
    <row r="133" spans="1:19" s="133" customFormat="1" x14ac:dyDescent="0.3">
      <c r="A133" s="132"/>
      <c r="B133" s="141"/>
      <c r="G133" s="119"/>
      <c r="H133" s="134"/>
      <c r="K133" s="136"/>
      <c r="L133" s="136"/>
      <c r="N133" s="137"/>
      <c r="O133" s="138"/>
      <c r="P133" s="138"/>
      <c r="Q133" s="139"/>
      <c r="R133" s="161"/>
      <c r="S133" s="135"/>
    </row>
    <row r="134" spans="1:19" s="133" customFormat="1" x14ac:dyDescent="0.3">
      <c r="A134" s="132"/>
      <c r="B134" s="141"/>
      <c r="G134" s="119"/>
      <c r="H134" s="134"/>
      <c r="K134" s="136"/>
      <c r="L134" s="136"/>
      <c r="N134" s="137"/>
      <c r="O134" s="138"/>
      <c r="P134" s="138"/>
      <c r="Q134" s="139"/>
      <c r="R134" s="161"/>
      <c r="S134" s="135"/>
    </row>
    <row r="135" spans="1:19" s="133" customFormat="1" x14ac:dyDescent="0.3">
      <c r="A135" s="132"/>
      <c r="B135" s="141"/>
      <c r="G135" s="119"/>
      <c r="H135" s="134"/>
      <c r="K135" s="136"/>
      <c r="L135" s="136"/>
      <c r="N135" s="137"/>
      <c r="O135" s="138"/>
      <c r="P135" s="138"/>
      <c r="Q135" s="139"/>
      <c r="R135" s="161"/>
      <c r="S135" s="135"/>
    </row>
    <row r="136" spans="1:19" s="133" customFormat="1" x14ac:dyDescent="0.3">
      <c r="A136" s="132"/>
      <c r="B136" s="141"/>
      <c r="G136" s="119"/>
      <c r="H136" s="134"/>
      <c r="K136" s="136"/>
      <c r="L136" s="136"/>
      <c r="N136" s="137"/>
      <c r="O136" s="138"/>
      <c r="P136" s="138"/>
      <c r="Q136" s="139"/>
      <c r="R136" s="161"/>
      <c r="S136" s="135"/>
    </row>
    <row r="137" spans="1:19" s="133" customFormat="1" x14ac:dyDescent="0.3">
      <c r="A137" s="132"/>
      <c r="B137" s="141"/>
      <c r="G137" s="119"/>
      <c r="H137" s="134"/>
      <c r="K137" s="136"/>
      <c r="L137" s="136"/>
      <c r="N137" s="137"/>
      <c r="O137" s="138"/>
      <c r="P137" s="138"/>
      <c r="Q137" s="139"/>
      <c r="R137" s="161"/>
      <c r="S137" s="135"/>
    </row>
    <row r="138" spans="1:19" s="133" customFormat="1" x14ac:dyDescent="0.3">
      <c r="A138" s="132"/>
      <c r="B138" s="141"/>
      <c r="G138" s="119"/>
      <c r="H138" s="134"/>
      <c r="K138" s="136"/>
      <c r="L138" s="136"/>
      <c r="N138" s="137"/>
      <c r="O138" s="138"/>
      <c r="P138" s="138"/>
      <c r="Q138" s="139"/>
      <c r="R138" s="161"/>
      <c r="S138" s="135"/>
    </row>
    <row r="139" spans="1:19" s="133" customFormat="1" x14ac:dyDescent="0.3">
      <c r="A139" s="132"/>
      <c r="B139" s="141"/>
      <c r="G139" s="119"/>
      <c r="H139" s="134"/>
      <c r="K139" s="136"/>
      <c r="L139" s="136"/>
      <c r="N139" s="137"/>
      <c r="O139" s="138"/>
      <c r="P139" s="138"/>
      <c r="Q139" s="139"/>
      <c r="R139" s="161"/>
      <c r="S139" s="135"/>
    </row>
    <row r="140" spans="1:19" s="133" customFormat="1" x14ac:dyDescent="0.3">
      <c r="A140" s="132"/>
      <c r="C140" s="51" t="s">
        <v>137</v>
      </c>
      <c r="D140" s="51"/>
      <c r="E140" s="118"/>
      <c r="F140" s="118"/>
      <c r="G140" s="119"/>
      <c r="H140" s="118">
        <f>COUNTIF(T118:T138,"*áno*")</f>
        <v>0</v>
      </c>
      <c r="K140" s="136"/>
      <c r="L140" s="136"/>
      <c r="N140" s="137"/>
      <c r="O140" s="138"/>
      <c r="P140" s="138"/>
      <c r="Q140" s="139"/>
      <c r="R140" s="161"/>
      <c r="S140" s="135"/>
    </row>
    <row r="141" spans="1:19" s="133" customFormat="1" x14ac:dyDescent="0.3">
      <c r="A141" s="132"/>
      <c r="C141" s="51" t="s">
        <v>138</v>
      </c>
      <c r="D141" s="51"/>
      <c r="E141" s="118"/>
      <c r="F141" s="118"/>
      <c r="G141" s="119"/>
      <c r="H141" s="118">
        <f>COUNTIF(E118:E138,"*w*")</f>
        <v>0</v>
      </c>
      <c r="K141" s="136"/>
      <c r="L141" s="136"/>
      <c r="N141" s="137"/>
      <c r="O141" s="138"/>
      <c r="P141" s="138"/>
      <c r="Q141" s="139"/>
      <c r="R141" s="161"/>
      <c r="S141" s="135"/>
    </row>
    <row r="142" spans="1:19" s="133" customFormat="1" x14ac:dyDescent="0.3">
      <c r="A142" s="132"/>
      <c r="C142" s="51" t="s">
        <v>139</v>
      </c>
      <c r="D142" s="51"/>
      <c r="E142" s="118"/>
      <c r="F142" s="118"/>
      <c r="G142" s="119"/>
      <c r="H142" s="118">
        <f>COUNTIF(E118:E138,"*P*")</f>
        <v>0</v>
      </c>
      <c r="K142" s="136"/>
      <c r="L142" s="136"/>
      <c r="N142" s="137"/>
      <c r="O142" s="138"/>
      <c r="P142" s="138"/>
      <c r="Q142" s="139"/>
      <c r="R142" s="161"/>
      <c r="S142" s="135"/>
    </row>
    <row r="143" spans="1:19" s="133" customFormat="1" x14ac:dyDescent="0.3">
      <c r="A143" s="132"/>
      <c r="C143" s="51" t="s">
        <v>140</v>
      </c>
      <c r="D143" s="51"/>
      <c r="E143" s="118"/>
      <c r="F143" s="118"/>
      <c r="G143" s="119"/>
      <c r="H143" s="118">
        <f>COUNTIF(E118:E138,"*L*")</f>
        <v>0</v>
      </c>
      <c r="K143" s="136"/>
      <c r="L143" s="136"/>
      <c r="N143" s="137"/>
      <c r="O143" s="138"/>
      <c r="P143" s="138"/>
      <c r="Q143" s="139"/>
      <c r="R143" s="161"/>
      <c r="S143" s="135"/>
    </row>
    <row r="144" spans="1:19" s="133" customFormat="1" x14ac:dyDescent="0.3">
      <c r="A144" s="132"/>
      <c r="C144" s="51" t="s">
        <v>141</v>
      </c>
      <c r="D144" s="51"/>
      <c r="E144" s="118"/>
      <c r="F144" s="118"/>
      <c r="G144" s="119"/>
      <c r="H144" s="118">
        <f>COUNTIF(E118:E138,"*V*")</f>
        <v>0</v>
      </c>
      <c r="K144" s="136"/>
      <c r="L144" s="136"/>
      <c r="N144" s="137"/>
      <c r="O144" s="138"/>
      <c r="P144" s="138"/>
      <c r="Q144" s="139"/>
      <c r="R144" s="161"/>
      <c r="S144" s="135"/>
    </row>
    <row r="145" spans="1:20" s="133" customFormat="1" x14ac:dyDescent="0.3">
      <c r="A145" s="132"/>
      <c r="C145" s="51"/>
      <c r="D145" s="51"/>
      <c r="E145" s="118"/>
      <c r="F145" s="118"/>
      <c r="G145" s="119"/>
      <c r="H145" s="118"/>
      <c r="K145" s="136"/>
      <c r="L145" s="136"/>
      <c r="N145" s="137"/>
      <c r="O145" s="138"/>
      <c r="P145" s="138"/>
      <c r="Q145" s="139"/>
      <c r="R145" s="161"/>
      <c r="S145" s="135"/>
    </row>
    <row r="146" spans="1:20" s="133" customFormat="1" x14ac:dyDescent="0.3">
      <c r="A146" s="132"/>
      <c r="C146" s="51" t="s">
        <v>142</v>
      </c>
      <c r="D146" s="51"/>
      <c r="E146" s="118"/>
      <c r="F146" s="118"/>
      <c r="G146" s="119"/>
      <c r="H146" s="118">
        <f>COUNTIF(E118:E138,"*D*")</f>
        <v>0</v>
      </c>
      <c r="K146" s="136"/>
      <c r="L146" s="136"/>
      <c r="N146" s="137"/>
      <c r="O146" s="138"/>
      <c r="P146" s="138"/>
      <c r="Q146" s="139"/>
      <c r="R146" s="161"/>
      <c r="S146" s="135"/>
    </row>
    <row r="147" spans="1:20" s="133" customFormat="1" x14ac:dyDescent="0.3">
      <c r="A147" s="132"/>
      <c r="C147" s="51" t="s">
        <v>143</v>
      </c>
      <c r="D147" s="51"/>
      <c r="E147" s="118"/>
      <c r="F147" s="118"/>
      <c r="G147" s="119"/>
      <c r="H147" s="118">
        <f>COUNTIF(E118:E138,"*S*")</f>
        <v>0</v>
      </c>
      <c r="K147" s="136"/>
      <c r="L147" s="136"/>
      <c r="N147" s="137"/>
      <c r="O147" s="138"/>
      <c r="P147" s="138"/>
      <c r="Q147" s="139"/>
      <c r="R147" s="161"/>
      <c r="S147" s="135"/>
    </row>
    <row r="148" spans="1:20" s="133" customFormat="1" x14ac:dyDescent="0.3">
      <c r="A148" s="132"/>
      <c r="C148" s="51" t="s">
        <v>144</v>
      </c>
      <c r="D148" s="51"/>
      <c r="E148" s="118"/>
      <c r="F148" s="118"/>
      <c r="G148" s="119"/>
      <c r="H148" s="118">
        <f>COUNTIF(E118:E138,"*K*")</f>
        <v>0</v>
      </c>
      <c r="K148" s="136"/>
      <c r="L148" s="136"/>
      <c r="N148" s="137"/>
      <c r="O148" s="138"/>
      <c r="P148" s="138"/>
      <c r="Q148" s="139"/>
      <c r="R148" s="161"/>
      <c r="S148" s="135"/>
    </row>
    <row r="149" spans="1:20" s="133" customFormat="1" x14ac:dyDescent="0.3">
      <c r="A149" s="132"/>
      <c r="C149" s="51" t="s">
        <v>145</v>
      </c>
      <c r="D149" s="51"/>
      <c r="E149" s="118"/>
      <c r="F149" s="118"/>
      <c r="G149" s="119"/>
      <c r="H149" s="118">
        <f>COUNTIF(E118:E138,"*Z*")</f>
        <v>0</v>
      </c>
      <c r="K149" s="136"/>
      <c r="L149" s="136"/>
      <c r="N149" s="137"/>
      <c r="O149" s="138"/>
      <c r="P149" s="138"/>
      <c r="Q149" s="139"/>
      <c r="R149" s="161"/>
      <c r="S149" s="135"/>
    </row>
    <row r="150" spans="1:20" s="133" customFormat="1" x14ac:dyDescent="0.3">
      <c r="A150" s="140" t="s">
        <v>111</v>
      </c>
      <c r="G150" s="119"/>
      <c r="H150" s="134"/>
      <c r="K150" s="136"/>
      <c r="L150" s="136"/>
      <c r="N150" s="137"/>
      <c r="O150" s="138"/>
      <c r="P150" s="138"/>
      <c r="Q150" s="139"/>
      <c r="R150" s="161"/>
      <c r="S150" s="135"/>
    </row>
    <row r="151" spans="1:20" s="133" customFormat="1" x14ac:dyDescent="0.3">
      <c r="A151" s="132"/>
      <c r="B151" s="141"/>
      <c r="G151" s="119"/>
      <c r="H151" s="134"/>
      <c r="K151" s="136"/>
      <c r="L151" s="136"/>
      <c r="N151" s="137"/>
      <c r="O151" s="138"/>
      <c r="P151" s="138"/>
      <c r="Q151" s="139"/>
      <c r="R151" s="161"/>
      <c r="S151" s="135"/>
    </row>
    <row r="152" spans="1:20" s="133" customFormat="1" x14ac:dyDescent="0.3">
      <c r="A152" s="132"/>
      <c r="B152" s="141"/>
      <c r="G152" s="119"/>
      <c r="H152" s="134"/>
      <c r="K152" s="136"/>
      <c r="L152" s="136"/>
      <c r="N152" s="137"/>
      <c r="O152" s="138"/>
      <c r="P152" s="138"/>
      <c r="Q152" s="139"/>
      <c r="R152" s="161"/>
      <c r="S152" s="135"/>
    </row>
    <row r="153" spans="1:20" s="133" customFormat="1" x14ac:dyDescent="0.3">
      <c r="A153" s="132"/>
      <c r="B153" s="141"/>
      <c r="G153" s="119"/>
      <c r="H153" s="134"/>
      <c r="K153" s="136"/>
      <c r="L153" s="136"/>
      <c r="N153" s="137"/>
      <c r="O153" s="138"/>
      <c r="P153" s="138"/>
      <c r="Q153" s="139"/>
      <c r="R153" s="161"/>
      <c r="S153" s="135"/>
    </row>
    <row r="154" spans="1:20" s="133" customFormat="1" x14ac:dyDescent="0.3">
      <c r="A154" s="132"/>
      <c r="B154" s="141"/>
      <c r="G154" s="119"/>
      <c r="H154" s="134"/>
      <c r="K154" s="136"/>
      <c r="L154" s="136"/>
      <c r="N154" s="137"/>
      <c r="O154" s="138"/>
      <c r="P154" s="138"/>
      <c r="Q154" s="139"/>
      <c r="R154" s="161"/>
      <c r="S154" s="135"/>
    </row>
    <row r="155" spans="1:20" s="133" customFormat="1" x14ac:dyDescent="0.3">
      <c r="A155" s="132"/>
      <c r="B155" s="141"/>
      <c r="G155" s="119"/>
      <c r="H155" s="134"/>
      <c r="K155" s="136"/>
      <c r="L155" s="136"/>
      <c r="N155" s="137"/>
      <c r="O155" s="138"/>
      <c r="P155" s="138"/>
      <c r="Q155" s="139"/>
      <c r="R155" s="161"/>
      <c r="S155" s="135"/>
    </row>
    <row r="156" spans="1:20" s="133" customFormat="1" x14ac:dyDescent="0.3">
      <c r="A156" s="132"/>
      <c r="B156" s="141"/>
      <c r="G156" s="119"/>
      <c r="H156" s="134"/>
      <c r="K156" s="136"/>
      <c r="L156" s="136"/>
      <c r="N156" s="137"/>
      <c r="O156" s="138"/>
      <c r="P156" s="138"/>
      <c r="Q156" s="139"/>
      <c r="R156" s="161"/>
      <c r="S156" s="135"/>
    </row>
    <row r="157" spans="1:20" s="133" customFormat="1" x14ac:dyDescent="0.3">
      <c r="A157" s="132"/>
      <c r="B157" s="141"/>
      <c r="G157" s="119"/>
      <c r="H157" s="134"/>
      <c r="K157" s="136"/>
      <c r="L157" s="136"/>
      <c r="N157" s="137"/>
      <c r="O157" s="138"/>
      <c r="P157" s="138"/>
      <c r="Q157" s="139"/>
      <c r="R157" s="161"/>
      <c r="S157" s="135"/>
    </row>
    <row r="158" spans="1:20" s="133" customFormat="1" x14ac:dyDescent="0.3">
      <c r="A158" s="132"/>
      <c r="B158" s="141"/>
      <c r="G158" s="119"/>
      <c r="H158" s="134"/>
      <c r="K158" s="136"/>
      <c r="L158" s="136"/>
      <c r="N158" s="137"/>
      <c r="O158" s="138"/>
      <c r="P158" s="138"/>
      <c r="Q158" s="139"/>
      <c r="R158" s="161"/>
      <c r="S158" s="135"/>
    </row>
    <row r="159" spans="1:20" s="133" customFormat="1" x14ac:dyDescent="0.3">
      <c r="A159" s="132"/>
      <c r="B159" s="141"/>
      <c r="G159" s="119"/>
      <c r="H159" s="134"/>
      <c r="K159" s="136"/>
      <c r="L159" s="136"/>
      <c r="N159" s="137"/>
      <c r="O159" s="138"/>
      <c r="P159" s="123"/>
      <c r="Q159" s="124"/>
      <c r="R159" s="158"/>
      <c r="S159" s="120"/>
      <c r="T159" s="118"/>
    </row>
    <row r="160" spans="1:20" s="133" customFormat="1" x14ac:dyDescent="0.3">
      <c r="A160" s="132"/>
      <c r="B160" s="141"/>
      <c r="G160" s="119"/>
      <c r="H160" s="134"/>
      <c r="K160" s="136"/>
      <c r="L160" s="136"/>
      <c r="N160" s="137"/>
      <c r="O160" s="138"/>
      <c r="P160" s="123"/>
      <c r="Q160" s="124"/>
      <c r="R160" s="158"/>
      <c r="S160" s="120"/>
      <c r="T160" s="118"/>
    </row>
    <row r="161" spans="1:20" s="133" customFormat="1" x14ac:dyDescent="0.3">
      <c r="A161" s="132"/>
      <c r="B161" s="141"/>
      <c r="G161" s="119"/>
      <c r="H161" s="134"/>
      <c r="K161" s="136"/>
      <c r="L161" s="136"/>
      <c r="N161" s="137"/>
      <c r="O161" s="138"/>
      <c r="P161" s="123"/>
      <c r="Q161" s="124"/>
      <c r="R161" s="158"/>
      <c r="S161" s="120"/>
      <c r="T161" s="118"/>
    </row>
    <row r="162" spans="1:20" s="133" customFormat="1" x14ac:dyDescent="0.3">
      <c r="A162" s="132"/>
      <c r="B162" s="141"/>
      <c r="G162" s="119"/>
      <c r="H162" s="134"/>
      <c r="K162" s="136"/>
      <c r="L162" s="136"/>
      <c r="N162" s="137"/>
      <c r="O162" s="138"/>
      <c r="P162" s="123"/>
      <c r="Q162" s="124"/>
      <c r="R162" s="331"/>
      <c r="S162" s="332"/>
      <c r="T162" s="118"/>
    </row>
    <row r="163" spans="1:20" s="133" customFormat="1" x14ac:dyDescent="0.3">
      <c r="A163" s="132"/>
      <c r="B163" s="141"/>
      <c r="G163" s="119"/>
      <c r="H163" s="134"/>
      <c r="K163" s="136"/>
      <c r="L163" s="136"/>
      <c r="N163" s="137"/>
      <c r="O163" s="138"/>
      <c r="P163" s="123"/>
      <c r="Q163" s="124"/>
      <c r="R163" s="331"/>
      <c r="S163" s="332"/>
      <c r="T163" s="118"/>
    </row>
    <row r="164" spans="1:20" s="133" customFormat="1" x14ac:dyDescent="0.3">
      <c r="A164" s="132"/>
      <c r="B164" s="141"/>
      <c r="G164" s="119"/>
      <c r="H164" s="134"/>
      <c r="K164" s="136"/>
      <c r="L164" s="136"/>
      <c r="N164" s="137"/>
      <c r="O164" s="138"/>
      <c r="P164" s="123"/>
      <c r="Q164" s="124"/>
      <c r="R164" s="158"/>
      <c r="S164" s="120"/>
      <c r="T164" s="118"/>
    </row>
    <row r="165" spans="1:20" s="133" customFormat="1" x14ac:dyDescent="0.3">
      <c r="A165" s="132"/>
      <c r="B165" s="141"/>
      <c r="G165" s="119"/>
      <c r="H165" s="134"/>
      <c r="K165" s="136"/>
      <c r="L165" s="136"/>
      <c r="N165" s="137"/>
      <c r="O165" s="138"/>
      <c r="P165" s="123"/>
      <c r="Q165" s="124"/>
      <c r="R165" s="158"/>
      <c r="S165" s="120"/>
      <c r="T165" s="118"/>
    </row>
    <row r="166" spans="1:20" s="133" customFormat="1" x14ac:dyDescent="0.3">
      <c r="A166" s="132"/>
      <c r="B166" s="141"/>
      <c r="G166" s="119"/>
      <c r="H166" s="134"/>
      <c r="K166" s="136"/>
      <c r="L166" s="136"/>
      <c r="N166" s="137"/>
      <c r="O166" s="138"/>
      <c r="P166" s="123"/>
      <c r="Q166" s="124"/>
      <c r="R166" s="158"/>
      <c r="S166" s="120"/>
      <c r="T166" s="118"/>
    </row>
    <row r="167" spans="1:20" s="133" customFormat="1" x14ac:dyDescent="0.3">
      <c r="A167" s="132"/>
      <c r="B167" s="141"/>
      <c r="G167" s="119"/>
      <c r="H167" s="134"/>
      <c r="K167" s="136"/>
      <c r="L167" s="136"/>
      <c r="N167" s="137"/>
      <c r="O167" s="138"/>
      <c r="P167" s="123"/>
      <c r="Q167" s="124"/>
      <c r="R167" s="158"/>
      <c r="S167" s="120"/>
      <c r="T167" s="118"/>
    </row>
    <row r="168" spans="1:20" s="133" customFormat="1" x14ac:dyDescent="0.3">
      <c r="A168" s="132"/>
      <c r="G168" s="119"/>
      <c r="H168" s="134"/>
      <c r="K168" s="136"/>
      <c r="L168" s="136"/>
      <c r="N168" s="137"/>
      <c r="O168" s="138"/>
      <c r="P168" s="123"/>
      <c r="Q168" s="124"/>
      <c r="R168" s="158"/>
      <c r="S168" s="120"/>
      <c r="T168" s="118"/>
    </row>
    <row r="169" spans="1:20" s="133" customFormat="1" x14ac:dyDescent="0.3">
      <c r="A169" s="132"/>
      <c r="C169" s="51" t="s">
        <v>137</v>
      </c>
      <c r="D169" s="51"/>
      <c r="E169" s="118"/>
      <c r="F169" s="118"/>
      <c r="G169" s="119"/>
      <c r="H169" s="118">
        <f>COUNTIF(T152:T168,"*áno*")</f>
        <v>0</v>
      </c>
      <c r="K169" s="136"/>
      <c r="L169" s="136"/>
      <c r="N169" s="137"/>
      <c r="O169" s="138"/>
      <c r="Q169" s="139"/>
      <c r="R169" s="161"/>
      <c r="S169" s="135"/>
    </row>
    <row r="170" spans="1:20" s="133" customFormat="1" x14ac:dyDescent="0.3">
      <c r="A170" s="132"/>
      <c r="C170" s="51" t="s">
        <v>138</v>
      </c>
      <c r="D170" s="51"/>
      <c r="E170" s="118"/>
      <c r="F170" s="118"/>
      <c r="G170" s="119"/>
      <c r="H170" s="118">
        <f>COUNTIF(E152:E168,"*w*")</f>
        <v>0</v>
      </c>
      <c r="K170" s="136"/>
      <c r="L170" s="136"/>
      <c r="N170" s="137"/>
      <c r="O170" s="138"/>
      <c r="P170" s="138"/>
      <c r="Q170" s="139"/>
      <c r="R170" s="161"/>
      <c r="S170" s="135"/>
    </row>
    <row r="171" spans="1:20" s="133" customFormat="1" x14ac:dyDescent="0.3">
      <c r="A171" s="132"/>
      <c r="C171" s="51" t="s">
        <v>139</v>
      </c>
      <c r="D171" s="51"/>
      <c r="E171" s="118"/>
      <c r="F171" s="118"/>
      <c r="G171" s="119"/>
      <c r="H171" s="118">
        <f>COUNTIF(E152:E168,"*P*")</f>
        <v>0</v>
      </c>
      <c r="K171" s="136"/>
      <c r="L171" s="136"/>
      <c r="N171" s="137"/>
      <c r="O171" s="138"/>
      <c r="P171" s="138"/>
      <c r="Q171" s="139"/>
      <c r="R171" s="161"/>
      <c r="S171" s="135"/>
    </row>
    <row r="172" spans="1:20" s="133" customFormat="1" x14ac:dyDescent="0.3">
      <c r="A172" s="132"/>
      <c r="C172" s="51" t="s">
        <v>140</v>
      </c>
      <c r="D172" s="51"/>
      <c r="E172" s="118"/>
      <c r="F172" s="118"/>
      <c r="G172" s="119"/>
      <c r="H172" s="118">
        <f>COUNTIF(E152:E168,"*L*")</f>
        <v>0</v>
      </c>
      <c r="K172" s="136"/>
      <c r="L172" s="136"/>
      <c r="N172" s="137"/>
      <c r="O172" s="138"/>
      <c r="P172" s="138"/>
      <c r="Q172" s="139"/>
      <c r="R172" s="161"/>
      <c r="S172" s="135"/>
    </row>
    <row r="173" spans="1:20" s="133" customFormat="1" x14ac:dyDescent="0.3">
      <c r="A173" s="132"/>
      <c r="C173" s="51" t="s">
        <v>141</v>
      </c>
      <c r="D173" s="51"/>
      <c r="E173" s="118"/>
      <c r="F173" s="118"/>
      <c r="G173" s="119"/>
      <c r="H173" s="118">
        <f>COUNTIF(E152:E168,"*V*")</f>
        <v>0</v>
      </c>
      <c r="K173" s="136"/>
      <c r="L173" s="136"/>
      <c r="N173" s="137"/>
      <c r="O173" s="138"/>
      <c r="P173" s="138"/>
      <c r="Q173" s="139"/>
      <c r="R173" s="161"/>
      <c r="S173" s="135"/>
    </row>
    <row r="174" spans="1:20" s="133" customFormat="1" x14ac:dyDescent="0.3">
      <c r="A174" s="132"/>
      <c r="C174" s="51"/>
      <c r="D174" s="51"/>
      <c r="E174" s="118"/>
      <c r="F174" s="118"/>
      <c r="G174" s="119"/>
      <c r="H174" s="118"/>
      <c r="K174" s="136"/>
      <c r="L174" s="136"/>
      <c r="N174" s="137"/>
      <c r="O174" s="138"/>
      <c r="P174" s="138"/>
      <c r="Q174" s="139"/>
      <c r="R174" s="161"/>
      <c r="S174" s="135"/>
    </row>
    <row r="175" spans="1:20" s="133" customFormat="1" x14ac:dyDescent="0.3">
      <c r="A175" s="132"/>
      <c r="C175" s="51" t="s">
        <v>142</v>
      </c>
      <c r="D175" s="51"/>
      <c r="E175" s="118"/>
      <c r="F175" s="118"/>
      <c r="G175" s="119"/>
      <c r="H175" s="118">
        <f>COUNTIF(E152:E168,"*D*")</f>
        <v>0</v>
      </c>
      <c r="K175" s="136"/>
      <c r="L175" s="136"/>
      <c r="N175" s="137"/>
      <c r="O175" s="138"/>
      <c r="P175" s="138"/>
      <c r="Q175" s="139"/>
      <c r="R175" s="161"/>
      <c r="S175" s="135"/>
    </row>
    <row r="176" spans="1:20" s="133" customFormat="1" x14ac:dyDescent="0.3">
      <c r="A176" s="132"/>
      <c r="C176" s="51" t="s">
        <v>143</v>
      </c>
      <c r="D176" s="51"/>
      <c r="E176" s="118"/>
      <c r="F176" s="118"/>
      <c r="G176" s="119"/>
      <c r="H176" s="118">
        <f>COUNTIF(E152:E168,"*S*")</f>
        <v>0</v>
      </c>
      <c r="K176" s="136"/>
      <c r="L176" s="136"/>
      <c r="N176" s="137"/>
      <c r="O176" s="138"/>
      <c r="P176" s="138"/>
      <c r="Q176" s="139"/>
      <c r="R176" s="161"/>
      <c r="S176" s="135"/>
    </row>
    <row r="177" spans="1:19" s="133" customFormat="1" x14ac:dyDescent="0.3">
      <c r="A177" s="132"/>
      <c r="C177" s="51" t="s">
        <v>144</v>
      </c>
      <c r="D177" s="51"/>
      <c r="E177" s="118"/>
      <c r="F177" s="118"/>
      <c r="G177" s="119"/>
      <c r="H177" s="118">
        <f>COUNTIF(E152:E168,"*K*")</f>
        <v>0</v>
      </c>
      <c r="K177" s="136"/>
      <c r="L177" s="136"/>
      <c r="N177" s="137"/>
      <c r="O177" s="138"/>
      <c r="P177" s="138"/>
      <c r="Q177" s="139"/>
      <c r="R177" s="161"/>
      <c r="S177" s="135"/>
    </row>
    <row r="178" spans="1:19" s="133" customFormat="1" x14ac:dyDescent="0.3">
      <c r="A178" s="132"/>
      <c r="C178" s="51" t="s">
        <v>145</v>
      </c>
      <c r="D178" s="51"/>
      <c r="E178" s="118"/>
      <c r="F178" s="118"/>
      <c r="G178" s="119"/>
      <c r="H178" s="118">
        <f>COUNTIF(E152:E168,"*Z*")</f>
        <v>0</v>
      </c>
      <c r="K178" s="136"/>
      <c r="L178" s="136"/>
      <c r="N178" s="137"/>
      <c r="O178" s="138"/>
      <c r="P178" s="138"/>
      <c r="Q178" s="139"/>
      <c r="R178" s="161"/>
      <c r="S178" s="135"/>
    </row>
    <row r="179" spans="1:19" s="133" customFormat="1" x14ac:dyDescent="0.3">
      <c r="A179" s="132"/>
      <c r="C179" s="144"/>
      <c r="D179" s="144"/>
      <c r="G179" s="119"/>
      <c r="K179" s="136"/>
      <c r="L179" s="136"/>
      <c r="N179" s="137"/>
      <c r="O179" s="138"/>
      <c r="P179" s="138"/>
      <c r="Q179" s="139"/>
      <c r="R179" s="161"/>
      <c r="S179" s="135"/>
    </row>
    <row r="180" spans="1:19" s="133" customFormat="1" x14ac:dyDescent="0.3">
      <c r="A180" s="140" t="s">
        <v>112</v>
      </c>
      <c r="G180" s="119"/>
      <c r="H180" s="134"/>
      <c r="K180" s="136"/>
      <c r="L180" s="136"/>
      <c r="N180" s="137"/>
      <c r="O180" s="138"/>
      <c r="P180" s="138"/>
      <c r="Q180" s="139"/>
      <c r="R180" s="161"/>
      <c r="S180" s="135"/>
    </row>
    <row r="181" spans="1:19" s="133" customFormat="1" x14ac:dyDescent="0.3">
      <c r="A181" s="132"/>
      <c r="B181" s="141"/>
      <c r="G181" s="119"/>
      <c r="H181" s="134"/>
      <c r="K181" s="136"/>
      <c r="L181" s="136"/>
      <c r="N181" s="137"/>
      <c r="O181" s="138"/>
      <c r="P181" s="138"/>
      <c r="Q181" s="139"/>
      <c r="R181" s="161"/>
      <c r="S181" s="135"/>
    </row>
    <row r="182" spans="1:19" s="133" customFormat="1" x14ac:dyDescent="0.3">
      <c r="A182" s="132"/>
      <c r="B182" s="141"/>
      <c r="G182" s="119"/>
      <c r="H182" s="134"/>
      <c r="K182" s="136"/>
      <c r="L182" s="136"/>
      <c r="N182" s="137"/>
      <c r="O182" s="138"/>
      <c r="P182" s="138"/>
      <c r="Q182" s="139"/>
      <c r="R182" s="161"/>
      <c r="S182" s="135"/>
    </row>
    <row r="183" spans="1:19" s="133" customFormat="1" x14ac:dyDescent="0.3">
      <c r="A183" s="132"/>
      <c r="G183" s="119"/>
      <c r="H183" s="134"/>
      <c r="K183" s="136"/>
      <c r="L183" s="136"/>
      <c r="N183" s="137"/>
      <c r="O183" s="138"/>
      <c r="P183" s="138"/>
      <c r="Q183" s="139"/>
      <c r="R183" s="161"/>
      <c r="S183" s="135"/>
    </row>
    <row r="184" spans="1:19" s="133" customFormat="1" x14ac:dyDescent="0.3">
      <c r="A184" s="132"/>
      <c r="B184" s="141"/>
      <c r="G184" s="119"/>
      <c r="H184" s="134"/>
      <c r="K184" s="136"/>
      <c r="L184" s="136"/>
      <c r="N184" s="137"/>
      <c r="O184" s="138"/>
      <c r="P184" s="138"/>
      <c r="Q184" s="139"/>
      <c r="R184" s="161"/>
      <c r="S184" s="135"/>
    </row>
    <row r="185" spans="1:19" s="133" customFormat="1" x14ac:dyDescent="0.3">
      <c r="A185" s="132"/>
      <c r="B185" s="141"/>
      <c r="G185" s="119"/>
      <c r="H185" s="134"/>
      <c r="K185" s="136"/>
      <c r="L185" s="136"/>
      <c r="N185" s="137"/>
      <c r="O185" s="138"/>
      <c r="P185" s="138"/>
      <c r="Q185" s="139"/>
      <c r="R185" s="161"/>
      <c r="S185" s="135"/>
    </row>
    <row r="186" spans="1:19" s="133" customFormat="1" x14ac:dyDescent="0.3">
      <c r="A186" s="132"/>
      <c r="G186" s="119"/>
      <c r="H186" s="134"/>
      <c r="K186" s="136"/>
      <c r="L186" s="136"/>
      <c r="N186" s="137"/>
      <c r="O186" s="138"/>
      <c r="P186" s="138"/>
      <c r="Q186" s="139"/>
      <c r="R186" s="161"/>
      <c r="S186" s="135"/>
    </row>
    <row r="187" spans="1:19" s="133" customFormat="1" x14ac:dyDescent="0.3">
      <c r="A187" s="132"/>
      <c r="B187" s="141"/>
      <c r="G187" s="119"/>
      <c r="H187" s="134"/>
      <c r="K187" s="136"/>
      <c r="L187" s="136"/>
      <c r="N187" s="137"/>
      <c r="O187" s="138"/>
      <c r="P187" s="138"/>
      <c r="Q187" s="139"/>
      <c r="R187" s="161"/>
      <c r="S187" s="135"/>
    </row>
    <row r="188" spans="1:19" s="133" customFormat="1" x14ac:dyDescent="0.3">
      <c r="A188" s="132"/>
      <c r="B188" s="141"/>
      <c r="C188" s="51" t="s">
        <v>137</v>
      </c>
      <c r="D188" s="51"/>
      <c r="E188" s="118"/>
      <c r="F188" s="118"/>
      <c r="G188" s="119"/>
      <c r="H188" s="118">
        <f>COUNTIF(T181:T187,"*áno*")</f>
        <v>0</v>
      </c>
      <c r="K188" s="136"/>
      <c r="L188" s="136"/>
      <c r="N188" s="137"/>
      <c r="O188" s="138"/>
      <c r="P188" s="138"/>
      <c r="Q188" s="139"/>
      <c r="R188" s="161"/>
      <c r="S188" s="135"/>
    </row>
    <row r="189" spans="1:19" s="133" customFormat="1" x14ac:dyDescent="0.3">
      <c r="A189" s="132"/>
      <c r="B189" s="141"/>
      <c r="C189" s="51" t="s">
        <v>138</v>
      </c>
      <c r="D189" s="51"/>
      <c r="E189" s="118"/>
      <c r="F189" s="118"/>
      <c r="G189" s="119"/>
      <c r="H189" s="118">
        <f>COUNTIF(E181:E187,"*w*")</f>
        <v>0</v>
      </c>
      <c r="K189" s="136"/>
      <c r="L189" s="136"/>
      <c r="N189" s="137"/>
      <c r="O189" s="138"/>
      <c r="P189" s="138"/>
      <c r="Q189" s="139"/>
      <c r="R189" s="161"/>
      <c r="S189" s="135"/>
    </row>
    <row r="190" spans="1:19" s="133" customFormat="1" x14ac:dyDescent="0.3">
      <c r="A190" s="132"/>
      <c r="B190" s="141"/>
      <c r="C190" s="51" t="s">
        <v>139</v>
      </c>
      <c r="D190" s="51"/>
      <c r="E190" s="118"/>
      <c r="F190" s="118"/>
      <c r="G190" s="119"/>
      <c r="H190" s="118">
        <f>COUNTIF(E181:E187,"*P*")</f>
        <v>0</v>
      </c>
      <c r="K190" s="136"/>
      <c r="L190" s="136"/>
      <c r="N190" s="137"/>
      <c r="O190" s="138"/>
      <c r="P190" s="138"/>
      <c r="Q190" s="139"/>
      <c r="R190" s="161"/>
      <c r="S190" s="135"/>
    </row>
    <row r="191" spans="1:19" s="133" customFormat="1" x14ac:dyDescent="0.3">
      <c r="A191" s="132"/>
      <c r="B191" s="141"/>
      <c r="C191" s="51" t="s">
        <v>140</v>
      </c>
      <c r="D191" s="51"/>
      <c r="E191" s="118"/>
      <c r="F191" s="118"/>
      <c r="G191" s="119"/>
      <c r="H191" s="118">
        <f>COUNTIF(E181:E187,"*L*")</f>
        <v>0</v>
      </c>
      <c r="K191" s="136"/>
      <c r="L191" s="136"/>
      <c r="N191" s="137"/>
      <c r="O191" s="138"/>
      <c r="P191" s="138"/>
      <c r="Q191" s="139"/>
      <c r="R191" s="161"/>
      <c r="S191" s="135"/>
    </row>
    <row r="192" spans="1:19" s="133" customFormat="1" x14ac:dyDescent="0.3">
      <c r="A192" s="132"/>
      <c r="C192" s="51" t="s">
        <v>141</v>
      </c>
      <c r="D192" s="51"/>
      <c r="E192" s="118"/>
      <c r="F192" s="118"/>
      <c r="G192" s="119"/>
      <c r="H192" s="118">
        <f>COUNTIF(E181:E187,"*V*")</f>
        <v>0</v>
      </c>
      <c r="K192" s="136"/>
      <c r="L192" s="136"/>
      <c r="N192" s="137"/>
      <c r="O192" s="138"/>
      <c r="P192" s="138"/>
      <c r="Q192" s="139"/>
      <c r="R192" s="161"/>
      <c r="S192" s="135"/>
    </row>
    <row r="193" spans="1:19" s="133" customFormat="1" x14ac:dyDescent="0.3">
      <c r="A193" s="132"/>
      <c r="C193" s="51"/>
      <c r="D193" s="51"/>
      <c r="E193" s="118"/>
      <c r="F193" s="118"/>
      <c r="G193" s="119"/>
      <c r="H193" s="118"/>
      <c r="K193" s="136"/>
      <c r="L193" s="136"/>
      <c r="N193" s="137"/>
      <c r="O193" s="138"/>
      <c r="P193" s="138"/>
      <c r="Q193" s="139"/>
      <c r="R193" s="161"/>
      <c r="S193" s="135"/>
    </row>
    <row r="194" spans="1:19" s="133" customFormat="1" x14ac:dyDescent="0.3">
      <c r="A194" s="132"/>
      <c r="C194" s="51" t="s">
        <v>142</v>
      </c>
      <c r="D194" s="51"/>
      <c r="E194" s="118"/>
      <c r="F194" s="118"/>
      <c r="G194" s="119"/>
      <c r="H194" s="118">
        <f>COUNTIF(E181:E187,"*D*")</f>
        <v>0</v>
      </c>
      <c r="K194" s="136"/>
      <c r="L194" s="136"/>
      <c r="N194" s="137"/>
      <c r="O194" s="138"/>
      <c r="P194" s="138"/>
      <c r="Q194" s="139"/>
      <c r="R194" s="161"/>
      <c r="S194" s="135"/>
    </row>
    <row r="195" spans="1:19" s="133" customFormat="1" x14ac:dyDescent="0.3">
      <c r="A195" s="132"/>
      <c r="C195" s="51" t="s">
        <v>143</v>
      </c>
      <c r="D195" s="51"/>
      <c r="E195" s="118"/>
      <c r="F195" s="118"/>
      <c r="G195" s="119"/>
      <c r="H195" s="118">
        <f>COUNTIF(E181:E187,"*S*")</f>
        <v>0</v>
      </c>
      <c r="K195" s="136"/>
      <c r="L195" s="136"/>
      <c r="N195" s="137"/>
      <c r="O195" s="138"/>
      <c r="P195" s="138"/>
      <c r="Q195" s="139"/>
      <c r="R195" s="161"/>
      <c r="S195" s="135"/>
    </row>
    <row r="196" spans="1:19" s="133" customFormat="1" x14ac:dyDescent="0.3">
      <c r="A196" s="132"/>
      <c r="C196" s="51" t="s">
        <v>144</v>
      </c>
      <c r="D196" s="51"/>
      <c r="E196" s="118"/>
      <c r="F196" s="118"/>
      <c r="G196" s="119"/>
      <c r="H196" s="118">
        <f>COUNTIF(E181:E187,"*K*")</f>
        <v>0</v>
      </c>
      <c r="K196" s="136"/>
      <c r="L196" s="136"/>
      <c r="N196" s="137"/>
      <c r="O196" s="138"/>
      <c r="P196" s="138"/>
      <c r="Q196" s="139"/>
      <c r="R196" s="161"/>
      <c r="S196" s="135"/>
    </row>
    <row r="197" spans="1:19" s="133" customFormat="1" x14ac:dyDescent="0.3">
      <c r="A197" s="132"/>
      <c r="C197" s="51" t="s">
        <v>145</v>
      </c>
      <c r="D197" s="51"/>
      <c r="E197" s="118"/>
      <c r="F197" s="118"/>
      <c r="G197" s="119"/>
      <c r="H197" s="118">
        <f>COUNTIF(E181:E187,"*Z*")</f>
        <v>0</v>
      </c>
      <c r="K197" s="136"/>
      <c r="L197" s="136"/>
      <c r="N197" s="137"/>
      <c r="O197" s="138"/>
      <c r="P197" s="138"/>
      <c r="Q197" s="139"/>
      <c r="R197" s="161"/>
      <c r="S197" s="135"/>
    </row>
    <row r="198" spans="1:19" s="133" customFormat="1" x14ac:dyDescent="0.3">
      <c r="A198" s="132"/>
      <c r="C198" s="144"/>
      <c r="D198" s="144"/>
      <c r="G198" s="119"/>
      <c r="K198" s="136"/>
      <c r="L198" s="136"/>
      <c r="N198" s="137"/>
      <c r="O198" s="138"/>
      <c r="P198" s="138"/>
      <c r="Q198" s="139"/>
      <c r="R198" s="161"/>
      <c r="S198" s="135"/>
    </row>
    <row r="199" spans="1:19" s="133" customFormat="1" x14ac:dyDescent="0.3">
      <c r="A199" s="140" t="s">
        <v>178</v>
      </c>
      <c r="G199" s="119"/>
      <c r="H199" s="134"/>
      <c r="K199" s="136"/>
      <c r="L199" s="136"/>
      <c r="N199" s="137"/>
      <c r="O199" s="138"/>
      <c r="P199" s="138"/>
      <c r="Q199" s="139"/>
      <c r="R199" s="161"/>
      <c r="S199" s="135"/>
    </row>
    <row r="200" spans="1:19" s="133" customFormat="1" x14ac:dyDescent="0.3">
      <c r="A200" s="132"/>
      <c r="C200" s="333"/>
      <c r="D200" s="334"/>
      <c r="G200" s="119"/>
      <c r="H200" s="134"/>
      <c r="K200" s="136"/>
      <c r="L200" s="136"/>
      <c r="N200" s="137"/>
      <c r="O200" s="138"/>
      <c r="P200" s="138"/>
      <c r="Q200" s="139"/>
      <c r="R200" s="161"/>
      <c r="S200" s="135"/>
    </row>
    <row r="201" spans="1:19" s="133" customFormat="1" x14ac:dyDescent="0.3">
      <c r="A201" s="132"/>
      <c r="C201" s="333"/>
      <c r="D201" s="334"/>
      <c r="G201" s="119"/>
      <c r="H201" s="134"/>
      <c r="K201" s="136"/>
      <c r="L201" s="136"/>
      <c r="N201" s="137"/>
      <c r="O201" s="138"/>
      <c r="P201" s="138"/>
      <c r="Q201" s="139"/>
      <c r="R201" s="161"/>
      <c r="S201" s="135"/>
    </row>
    <row r="202" spans="1:19" s="133" customFormat="1" x14ac:dyDescent="0.3">
      <c r="A202" s="132"/>
      <c r="C202" s="144"/>
      <c r="D202" s="144"/>
      <c r="G202" s="119"/>
      <c r="H202" s="134"/>
      <c r="K202" s="136"/>
      <c r="L202" s="136"/>
      <c r="N202" s="137"/>
      <c r="O202" s="138"/>
      <c r="P202" s="138"/>
      <c r="Q202" s="139"/>
      <c r="R202" s="161"/>
      <c r="S202" s="135"/>
    </row>
    <row r="203" spans="1:19" s="133" customFormat="1" x14ac:dyDescent="0.3">
      <c r="A203" s="132"/>
      <c r="C203" s="51" t="s">
        <v>137</v>
      </c>
      <c r="D203" s="51"/>
      <c r="E203" s="118"/>
      <c r="F203" s="118"/>
      <c r="G203" s="119"/>
      <c r="H203" s="118">
        <f>COUNTIF(T200:T202,"*áno*")</f>
        <v>0</v>
      </c>
      <c r="K203" s="136"/>
      <c r="L203" s="136"/>
      <c r="N203" s="137"/>
      <c r="O203" s="138"/>
      <c r="P203" s="138"/>
      <c r="Q203" s="139"/>
      <c r="R203" s="161"/>
      <c r="S203" s="135"/>
    </row>
    <row r="204" spans="1:19" s="133" customFormat="1" x14ac:dyDescent="0.3">
      <c r="A204" s="132"/>
      <c r="C204" s="51" t="s">
        <v>138</v>
      </c>
      <c r="D204" s="51"/>
      <c r="E204" s="118"/>
      <c r="F204" s="118"/>
      <c r="G204" s="119"/>
      <c r="H204" s="118">
        <f>COUNTIF(E200:E202,"*w*")</f>
        <v>0</v>
      </c>
      <c r="K204" s="136"/>
      <c r="L204" s="136"/>
      <c r="N204" s="137"/>
      <c r="O204" s="138"/>
      <c r="P204" s="138"/>
      <c r="Q204" s="139"/>
      <c r="R204" s="161"/>
      <c r="S204" s="135"/>
    </row>
    <row r="205" spans="1:19" s="133" customFormat="1" x14ac:dyDescent="0.3">
      <c r="A205" s="132"/>
      <c r="C205" s="51" t="s">
        <v>139</v>
      </c>
      <c r="D205" s="51"/>
      <c r="E205" s="118"/>
      <c r="F205" s="118"/>
      <c r="G205" s="119"/>
      <c r="H205" s="118">
        <f>COUNTIF(E200:E202,"*P*")</f>
        <v>0</v>
      </c>
      <c r="K205" s="136"/>
      <c r="L205" s="136"/>
      <c r="N205" s="137"/>
      <c r="O205" s="138"/>
      <c r="P205" s="138"/>
      <c r="Q205" s="139"/>
      <c r="R205" s="161"/>
      <c r="S205" s="135"/>
    </row>
    <row r="206" spans="1:19" s="133" customFormat="1" x14ac:dyDescent="0.3">
      <c r="A206" s="132"/>
      <c r="C206" s="51" t="s">
        <v>140</v>
      </c>
      <c r="D206" s="51"/>
      <c r="E206" s="118"/>
      <c r="F206" s="118"/>
      <c r="G206" s="119"/>
      <c r="H206" s="118">
        <f>COUNTIF(E200:E202,"*L*")</f>
        <v>0</v>
      </c>
      <c r="K206" s="136"/>
      <c r="L206" s="136"/>
      <c r="N206" s="137"/>
      <c r="O206" s="138"/>
      <c r="P206" s="138"/>
      <c r="Q206" s="139"/>
      <c r="R206" s="161"/>
      <c r="S206" s="135"/>
    </row>
    <row r="207" spans="1:19" s="133" customFormat="1" x14ac:dyDescent="0.3">
      <c r="A207" s="132"/>
      <c r="C207" s="51" t="s">
        <v>141</v>
      </c>
      <c r="D207" s="51"/>
      <c r="E207" s="118"/>
      <c r="F207" s="118"/>
      <c r="G207" s="119"/>
      <c r="H207" s="118">
        <f>COUNTIF(E200:E202,"*V*")</f>
        <v>0</v>
      </c>
      <c r="K207" s="136"/>
      <c r="L207" s="136"/>
      <c r="N207" s="137"/>
      <c r="O207" s="138"/>
      <c r="P207" s="138"/>
      <c r="Q207" s="139"/>
      <c r="R207" s="161"/>
      <c r="S207" s="135"/>
    </row>
    <row r="208" spans="1:19" s="133" customFormat="1" x14ac:dyDescent="0.3">
      <c r="A208" s="132"/>
      <c r="C208" s="51"/>
      <c r="D208" s="51"/>
      <c r="E208" s="118"/>
      <c r="F208" s="118"/>
      <c r="G208" s="119"/>
      <c r="H208" s="118"/>
      <c r="K208" s="136"/>
      <c r="L208" s="136"/>
      <c r="N208" s="137"/>
      <c r="O208" s="138"/>
      <c r="P208" s="138"/>
      <c r="Q208" s="139"/>
      <c r="R208" s="161"/>
      <c r="S208" s="135"/>
    </row>
    <row r="209" spans="1:19" s="133" customFormat="1" x14ac:dyDescent="0.3">
      <c r="A209" s="132"/>
      <c r="C209" s="51" t="s">
        <v>142</v>
      </c>
      <c r="D209" s="51"/>
      <c r="E209" s="118"/>
      <c r="F209" s="118"/>
      <c r="G209" s="119"/>
      <c r="H209" s="118">
        <f>COUNTIF(E200:E202,"*D*")</f>
        <v>0</v>
      </c>
      <c r="K209" s="136"/>
      <c r="L209" s="136"/>
      <c r="N209" s="137"/>
      <c r="O209" s="138"/>
      <c r="P209" s="138"/>
      <c r="Q209" s="139"/>
      <c r="R209" s="161"/>
      <c r="S209" s="135"/>
    </row>
    <row r="210" spans="1:19" s="133" customFormat="1" x14ac:dyDescent="0.3">
      <c r="A210" s="132"/>
      <c r="C210" s="51" t="s">
        <v>143</v>
      </c>
      <c r="D210" s="51"/>
      <c r="E210" s="118"/>
      <c r="F210" s="118"/>
      <c r="G210" s="119"/>
      <c r="H210" s="118">
        <f>COUNTIF(E200:E202,"*S*")</f>
        <v>0</v>
      </c>
      <c r="K210" s="136"/>
      <c r="L210" s="136"/>
      <c r="N210" s="137"/>
      <c r="O210" s="138"/>
      <c r="P210" s="138"/>
      <c r="Q210" s="139"/>
      <c r="R210" s="161"/>
      <c r="S210" s="135"/>
    </row>
    <row r="211" spans="1:19" s="133" customFormat="1" x14ac:dyDescent="0.3">
      <c r="A211" s="132"/>
      <c r="C211" s="51" t="s">
        <v>144</v>
      </c>
      <c r="D211" s="51"/>
      <c r="E211" s="118"/>
      <c r="F211" s="118"/>
      <c r="G211" s="119"/>
      <c r="H211" s="118">
        <f>COUNTIF(E200:E202,"*K*")</f>
        <v>0</v>
      </c>
      <c r="K211" s="136"/>
      <c r="L211" s="136"/>
      <c r="N211" s="137"/>
      <c r="O211" s="138"/>
      <c r="P211" s="138"/>
      <c r="Q211" s="139"/>
      <c r="R211" s="161"/>
      <c r="S211" s="135"/>
    </row>
    <row r="212" spans="1:19" s="133" customFormat="1" x14ac:dyDescent="0.3">
      <c r="A212" s="132"/>
      <c r="C212" s="51" t="s">
        <v>145</v>
      </c>
      <c r="D212" s="51"/>
      <c r="E212" s="118"/>
      <c r="F212" s="118"/>
      <c r="G212" s="119"/>
      <c r="H212" s="118">
        <f>COUNTIF(E200:E202,"*Z*")</f>
        <v>0</v>
      </c>
      <c r="K212" s="136"/>
      <c r="L212" s="136"/>
      <c r="N212" s="137"/>
      <c r="O212" s="138"/>
      <c r="P212" s="138"/>
      <c r="Q212" s="139"/>
      <c r="R212" s="161"/>
      <c r="S212" s="135"/>
    </row>
    <row r="213" spans="1:19" s="133" customFormat="1" x14ac:dyDescent="0.3">
      <c r="A213" s="132"/>
      <c r="C213" s="144"/>
      <c r="D213" s="144"/>
      <c r="G213" s="119"/>
      <c r="K213" s="136"/>
      <c r="L213" s="136"/>
      <c r="N213" s="137"/>
      <c r="O213" s="138"/>
      <c r="P213" s="138"/>
      <c r="Q213" s="139"/>
      <c r="R213" s="161"/>
      <c r="S213" s="135"/>
    </row>
    <row r="214" spans="1:19" s="133" customFormat="1" x14ac:dyDescent="0.3">
      <c r="A214" s="140" t="s">
        <v>179</v>
      </c>
      <c r="G214" s="119"/>
      <c r="H214" s="134"/>
      <c r="K214" s="136"/>
      <c r="L214" s="136"/>
      <c r="N214" s="137"/>
      <c r="O214" s="138"/>
      <c r="P214" s="138"/>
      <c r="Q214" s="139"/>
      <c r="R214" s="161"/>
      <c r="S214" s="135"/>
    </row>
    <row r="215" spans="1:19" s="133" customFormat="1" x14ac:dyDescent="0.3">
      <c r="A215" s="132"/>
      <c r="C215" s="144"/>
      <c r="D215" s="144"/>
      <c r="G215" s="119"/>
      <c r="K215" s="136"/>
      <c r="L215" s="136"/>
      <c r="N215" s="137"/>
      <c r="O215" s="138"/>
      <c r="P215" s="138"/>
      <c r="Q215" s="139"/>
      <c r="R215" s="161"/>
      <c r="S215" s="135"/>
    </row>
    <row r="216" spans="1:19" s="133" customFormat="1" x14ac:dyDescent="0.3">
      <c r="A216" s="132"/>
      <c r="C216" s="144"/>
      <c r="D216" s="144"/>
      <c r="G216" s="119"/>
      <c r="K216" s="136"/>
      <c r="L216" s="136"/>
      <c r="N216" s="137"/>
      <c r="O216" s="138"/>
      <c r="P216" s="138"/>
      <c r="Q216" s="139"/>
      <c r="R216" s="161"/>
      <c r="S216" s="135"/>
    </row>
    <row r="217" spans="1:19" s="133" customFormat="1" x14ac:dyDescent="0.3">
      <c r="A217" s="132"/>
      <c r="C217" s="144"/>
      <c r="D217" s="144"/>
      <c r="G217" s="119"/>
      <c r="K217" s="136"/>
      <c r="L217" s="136"/>
      <c r="N217" s="137"/>
      <c r="O217" s="138"/>
      <c r="P217" s="138"/>
      <c r="Q217" s="139"/>
      <c r="R217" s="161"/>
      <c r="S217" s="135"/>
    </row>
    <row r="218" spans="1:19" s="133" customFormat="1" x14ac:dyDescent="0.3">
      <c r="A218" s="132"/>
      <c r="C218" s="51" t="s">
        <v>137</v>
      </c>
      <c r="D218" s="51"/>
      <c r="E218" s="118"/>
      <c r="F218" s="118"/>
      <c r="G218" s="119"/>
      <c r="H218" s="118">
        <f>COUNTIF(T215:T217,"*áno*")</f>
        <v>0</v>
      </c>
      <c r="K218" s="136"/>
      <c r="L218" s="136"/>
      <c r="N218" s="137"/>
      <c r="O218" s="138"/>
      <c r="P218" s="138"/>
      <c r="Q218" s="139"/>
      <c r="R218" s="161"/>
      <c r="S218" s="135"/>
    </row>
    <row r="219" spans="1:19" s="133" customFormat="1" x14ac:dyDescent="0.3">
      <c r="A219" s="132"/>
      <c r="C219" s="51" t="s">
        <v>138</v>
      </c>
      <c r="D219" s="51"/>
      <c r="E219" s="118"/>
      <c r="F219" s="118"/>
      <c r="G219" s="119"/>
      <c r="H219" s="118">
        <f>COUNTIF(E215:E217,"*w*")</f>
        <v>0</v>
      </c>
      <c r="K219" s="136"/>
      <c r="L219" s="136"/>
      <c r="N219" s="137"/>
      <c r="O219" s="138"/>
      <c r="P219" s="138"/>
      <c r="Q219" s="139"/>
      <c r="R219" s="161"/>
      <c r="S219" s="135"/>
    </row>
    <row r="220" spans="1:19" s="133" customFormat="1" x14ac:dyDescent="0.3">
      <c r="A220" s="132"/>
      <c r="C220" s="51" t="s">
        <v>139</v>
      </c>
      <c r="D220" s="51"/>
      <c r="E220" s="118"/>
      <c r="F220" s="118"/>
      <c r="G220" s="119"/>
      <c r="H220" s="118">
        <f>COUNTIF(E215:E217,"*P*")</f>
        <v>0</v>
      </c>
      <c r="K220" s="136"/>
      <c r="L220" s="136"/>
      <c r="N220" s="137"/>
      <c r="O220" s="138"/>
      <c r="P220" s="138"/>
      <c r="Q220" s="139"/>
      <c r="R220" s="161"/>
      <c r="S220" s="135"/>
    </row>
    <row r="221" spans="1:19" s="133" customFormat="1" x14ac:dyDescent="0.3">
      <c r="A221" s="132"/>
      <c r="C221" s="51" t="s">
        <v>140</v>
      </c>
      <c r="D221" s="51"/>
      <c r="E221" s="118"/>
      <c r="F221" s="118"/>
      <c r="G221" s="119"/>
      <c r="H221" s="118">
        <f>COUNTIF(E215:E217,"*L*")</f>
        <v>0</v>
      </c>
      <c r="K221" s="136"/>
      <c r="L221" s="136"/>
      <c r="N221" s="137"/>
      <c r="O221" s="138"/>
      <c r="P221" s="138"/>
      <c r="Q221" s="139"/>
      <c r="R221" s="161"/>
      <c r="S221" s="135"/>
    </row>
    <row r="222" spans="1:19" s="133" customFormat="1" x14ac:dyDescent="0.3">
      <c r="A222" s="132"/>
      <c r="C222" s="51" t="s">
        <v>141</v>
      </c>
      <c r="D222" s="51"/>
      <c r="E222" s="118"/>
      <c r="F222" s="118"/>
      <c r="G222" s="119"/>
      <c r="H222" s="118">
        <f>COUNTIF(E215:E217,"*V*")</f>
        <v>0</v>
      </c>
      <c r="K222" s="136"/>
      <c r="L222" s="136"/>
      <c r="N222" s="137"/>
      <c r="O222" s="138"/>
      <c r="P222" s="138"/>
      <c r="Q222" s="139"/>
      <c r="R222" s="161"/>
      <c r="S222" s="135"/>
    </row>
    <row r="223" spans="1:19" s="133" customFormat="1" x14ac:dyDescent="0.3">
      <c r="A223" s="132"/>
      <c r="C223" s="51"/>
      <c r="D223" s="51"/>
      <c r="E223" s="118"/>
      <c r="F223" s="118"/>
      <c r="G223" s="119"/>
      <c r="H223" s="118"/>
      <c r="K223" s="136"/>
      <c r="L223" s="136"/>
      <c r="N223" s="137"/>
      <c r="O223" s="138"/>
      <c r="P223" s="138"/>
      <c r="Q223" s="139"/>
      <c r="R223" s="161"/>
      <c r="S223" s="135"/>
    </row>
    <row r="224" spans="1:19" s="133" customFormat="1" x14ac:dyDescent="0.3">
      <c r="A224" s="132"/>
      <c r="C224" s="51" t="s">
        <v>142</v>
      </c>
      <c r="D224" s="51"/>
      <c r="E224" s="118"/>
      <c r="F224" s="118"/>
      <c r="G224" s="119"/>
      <c r="H224" s="118">
        <f>COUNTIF(E215:E217,"*D*")</f>
        <v>0</v>
      </c>
      <c r="K224" s="136"/>
      <c r="L224" s="136"/>
      <c r="N224" s="137"/>
      <c r="O224" s="138"/>
      <c r="P224" s="138"/>
      <c r="Q224" s="139"/>
      <c r="R224" s="161"/>
      <c r="S224" s="135"/>
    </row>
    <row r="225" spans="1:19" s="133" customFormat="1" x14ac:dyDescent="0.3">
      <c r="A225" s="132"/>
      <c r="C225" s="51" t="s">
        <v>143</v>
      </c>
      <c r="D225" s="51"/>
      <c r="E225" s="118"/>
      <c r="F225" s="118"/>
      <c r="G225" s="119"/>
      <c r="H225" s="118">
        <f>COUNTIF(E215:E217,"*S*")</f>
        <v>0</v>
      </c>
      <c r="K225" s="136"/>
      <c r="L225" s="136"/>
      <c r="N225" s="137"/>
      <c r="O225" s="138"/>
      <c r="P225" s="138"/>
      <c r="Q225" s="139"/>
      <c r="R225" s="161"/>
      <c r="S225" s="135"/>
    </row>
    <row r="226" spans="1:19" s="133" customFormat="1" x14ac:dyDescent="0.3">
      <c r="A226" s="132"/>
      <c r="C226" s="51" t="s">
        <v>144</v>
      </c>
      <c r="D226" s="51"/>
      <c r="E226" s="118"/>
      <c r="F226" s="118"/>
      <c r="G226" s="119"/>
      <c r="H226" s="118">
        <f>COUNTIF(E215:E217,"*K*")</f>
        <v>0</v>
      </c>
      <c r="K226" s="136"/>
      <c r="L226" s="136"/>
      <c r="N226" s="137"/>
      <c r="O226" s="138"/>
      <c r="P226" s="138"/>
      <c r="Q226" s="139"/>
      <c r="R226" s="161"/>
      <c r="S226" s="135"/>
    </row>
    <row r="227" spans="1:19" s="133" customFormat="1" x14ac:dyDescent="0.3">
      <c r="A227" s="132"/>
      <c r="C227" s="51" t="s">
        <v>145</v>
      </c>
      <c r="D227" s="51"/>
      <c r="E227" s="118"/>
      <c r="F227" s="118"/>
      <c r="G227" s="119"/>
      <c r="H227" s="118">
        <f>COUNTIF(E215:E217,"*Z*")</f>
        <v>0</v>
      </c>
      <c r="K227" s="136"/>
      <c r="L227" s="136"/>
      <c r="N227" s="137"/>
      <c r="O227" s="138"/>
      <c r="P227" s="138"/>
      <c r="Q227" s="139"/>
      <c r="R227" s="161"/>
      <c r="S227" s="135"/>
    </row>
    <row r="228" spans="1:19" s="133" customFormat="1" x14ac:dyDescent="0.3">
      <c r="A228" s="132"/>
      <c r="C228" s="144"/>
      <c r="D228" s="144"/>
      <c r="G228" s="119"/>
      <c r="K228" s="136"/>
      <c r="L228" s="136"/>
      <c r="N228" s="137"/>
      <c r="O228" s="138"/>
      <c r="P228" s="138"/>
      <c r="Q228" s="139"/>
      <c r="R228" s="161"/>
      <c r="S228" s="135"/>
    </row>
    <row r="229" spans="1:19" s="133" customFormat="1" x14ac:dyDescent="0.3">
      <c r="A229" s="140" t="s">
        <v>186</v>
      </c>
      <c r="G229" s="119"/>
      <c r="H229" s="134"/>
      <c r="K229" s="136"/>
      <c r="L229" s="136"/>
      <c r="N229" s="137"/>
      <c r="O229" s="138"/>
      <c r="P229" s="138"/>
      <c r="Q229" s="139"/>
      <c r="R229" s="161"/>
      <c r="S229" s="135"/>
    </row>
    <row r="230" spans="1:19" s="133" customFormat="1" x14ac:dyDescent="0.3">
      <c r="A230" s="132"/>
      <c r="C230" s="144"/>
      <c r="D230" s="144"/>
      <c r="G230" s="119"/>
      <c r="K230" s="136"/>
      <c r="L230" s="136"/>
      <c r="N230" s="137"/>
      <c r="O230" s="138"/>
      <c r="P230" s="138"/>
      <c r="Q230" s="139"/>
      <c r="R230" s="161"/>
      <c r="S230" s="135"/>
    </row>
    <row r="231" spans="1:19" s="133" customFormat="1" x14ac:dyDescent="0.3">
      <c r="A231" s="132"/>
      <c r="C231" s="144"/>
      <c r="D231" s="144"/>
      <c r="G231" s="119"/>
      <c r="K231" s="136"/>
      <c r="L231" s="136"/>
      <c r="N231" s="137"/>
      <c r="O231" s="138"/>
      <c r="P231" s="138"/>
      <c r="Q231" s="139"/>
      <c r="R231" s="161"/>
      <c r="S231" s="135"/>
    </row>
    <row r="232" spans="1:19" s="133" customFormat="1" x14ac:dyDescent="0.3">
      <c r="A232" s="132"/>
      <c r="C232" s="144"/>
      <c r="D232" s="144"/>
      <c r="G232" s="119"/>
      <c r="K232" s="136"/>
      <c r="L232" s="136"/>
      <c r="N232" s="137"/>
      <c r="O232" s="138"/>
      <c r="P232" s="138"/>
      <c r="Q232" s="139"/>
      <c r="R232" s="161"/>
      <c r="S232" s="135"/>
    </row>
    <row r="233" spans="1:19" s="133" customFormat="1" x14ac:dyDescent="0.3">
      <c r="A233" s="132"/>
      <c r="C233" s="51" t="s">
        <v>137</v>
      </c>
      <c r="D233" s="51"/>
      <c r="E233" s="118"/>
      <c r="F233" s="118"/>
      <c r="G233" s="119"/>
      <c r="H233" s="118">
        <f>COUNTIF(T230:T232,"*áno*")</f>
        <v>0</v>
      </c>
      <c r="K233" s="136"/>
      <c r="L233" s="136"/>
      <c r="N233" s="137"/>
      <c r="O233" s="138"/>
      <c r="P233" s="138"/>
      <c r="Q233" s="139"/>
      <c r="R233" s="161"/>
      <c r="S233" s="135"/>
    </row>
    <row r="234" spans="1:19" s="133" customFormat="1" x14ac:dyDescent="0.3">
      <c r="A234" s="132"/>
      <c r="C234" s="51" t="s">
        <v>138</v>
      </c>
      <c r="D234" s="51"/>
      <c r="E234" s="118"/>
      <c r="F234" s="118"/>
      <c r="G234" s="119"/>
      <c r="H234" s="118">
        <f>COUNTIF(E230:E232,"*w*")</f>
        <v>0</v>
      </c>
      <c r="K234" s="136"/>
      <c r="L234" s="136"/>
      <c r="N234" s="137"/>
      <c r="O234" s="138"/>
      <c r="P234" s="138"/>
      <c r="Q234" s="139"/>
      <c r="R234" s="161"/>
      <c r="S234" s="135"/>
    </row>
    <row r="235" spans="1:19" s="133" customFormat="1" x14ac:dyDescent="0.3">
      <c r="A235" s="132"/>
      <c r="C235" s="51" t="s">
        <v>139</v>
      </c>
      <c r="D235" s="51"/>
      <c r="E235" s="118"/>
      <c r="F235" s="118"/>
      <c r="G235" s="119"/>
      <c r="H235" s="118">
        <f>COUNTIF(E230:E232,"*P*")</f>
        <v>0</v>
      </c>
      <c r="K235" s="136"/>
      <c r="L235" s="136"/>
      <c r="N235" s="137"/>
      <c r="O235" s="138"/>
      <c r="P235" s="138"/>
      <c r="Q235" s="139"/>
      <c r="R235" s="161"/>
      <c r="S235" s="135"/>
    </row>
    <row r="236" spans="1:19" s="133" customFormat="1" x14ac:dyDescent="0.3">
      <c r="A236" s="132"/>
      <c r="C236" s="51" t="s">
        <v>140</v>
      </c>
      <c r="D236" s="51"/>
      <c r="E236" s="118"/>
      <c r="F236" s="118"/>
      <c r="G236" s="119"/>
      <c r="H236" s="118">
        <f>COUNTIF(E230:E232,"*L*")</f>
        <v>0</v>
      </c>
      <c r="K236" s="136"/>
      <c r="L236" s="136"/>
      <c r="N236" s="137"/>
      <c r="O236" s="138"/>
      <c r="P236" s="138"/>
      <c r="Q236" s="139"/>
      <c r="R236" s="161"/>
      <c r="S236" s="135"/>
    </row>
    <row r="237" spans="1:19" s="133" customFormat="1" x14ac:dyDescent="0.3">
      <c r="A237" s="132"/>
      <c r="C237" s="51" t="s">
        <v>141</v>
      </c>
      <c r="D237" s="51"/>
      <c r="E237" s="118"/>
      <c r="F237" s="118"/>
      <c r="G237" s="119"/>
      <c r="H237" s="118">
        <f>COUNTIF(E230:E232,"*V*")</f>
        <v>0</v>
      </c>
      <c r="K237" s="136"/>
      <c r="L237" s="136"/>
      <c r="N237" s="137"/>
      <c r="O237" s="138"/>
      <c r="P237" s="138"/>
      <c r="Q237" s="139"/>
      <c r="R237" s="161"/>
      <c r="S237" s="135"/>
    </row>
    <row r="238" spans="1:19" s="133" customFormat="1" x14ac:dyDescent="0.3">
      <c r="A238" s="132"/>
      <c r="C238" s="51"/>
      <c r="D238" s="51"/>
      <c r="E238" s="118"/>
      <c r="F238" s="118"/>
      <c r="G238" s="119"/>
      <c r="H238" s="118"/>
      <c r="K238" s="136"/>
      <c r="L238" s="136"/>
      <c r="N238" s="137"/>
      <c r="O238" s="138"/>
      <c r="P238" s="138"/>
      <c r="Q238" s="139"/>
      <c r="R238" s="161"/>
      <c r="S238" s="135"/>
    </row>
    <row r="239" spans="1:19" s="133" customFormat="1" x14ac:dyDescent="0.3">
      <c r="A239" s="132"/>
      <c r="C239" s="51" t="s">
        <v>142</v>
      </c>
      <c r="D239" s="51"/>
      <c r="E239" s="118"/>
      <c r="F239" s="118"/>
      <c r="G239" s="119"/>
      <c r="H239" s="118">
        <f>COUNTIF(E230:E232,"*D*")</f>
        <v>0</v>
      </c>
      <c r="K239" s="136"/>
      <c r="L239" s="136"/>
      <c r="N239" s="137"/>
      <c r="O239" s="138"/>
      <c r="P239" s="138"/>
      <c r="Q239" s="139"/>
      <c r="R239" s="161"/>
      <c r="S239" s="135"/>
    </row>
    <row r="240" spans="1:19" s="133" customFormat="1" x14ac:dyDescent="0.3">
      <c r="A240" s="132"/>
      <c r="C240" s="51" t="s">
        <v>143</v>
      </c>
      <c r="D240" s="51"/>
      <c r="E240" s="118"/>
      <c r="F240" s="118"/>
      <c r="G240" s="119"/>
      <c r="H240" s="118">
        <f>COUNTIF(E230:E232,"*S*")</f>
        <v>0</v>
      </c>
      <c r="K240" s="136"/>
      <c r="L240" s="136"/>
      <c r="N240" s="137"/>
      <c r="O240" s="138"/>
      <c r="P240" s="138"/>
      <c r="Q240" s="139"/>
      <c r="R240" s="161"/>
      <c r="S240" s="135"/>
    </row>
    <row r="241" spans="1:19" s="133" customFormat="1" x14ac:dyDescent="0.3">
      <c r="A241" s="132"/>
      <c r="C241" s="51" t="s">
        <v>144</v>
      </c>
      <c r="D241" s="51"/>
      <c r="E241" s="118"/>
      <c r="F241" s="118"/>
      <c r="G241" s="119"/>
      <c r="H241" s="118">
        <f>COUNTIF(E230:E232,"*K*")</f>
        <v>0</v>
      </c>
      <c r="K241" s="136"/>
      <c r="L241" s="136"/>
      <c r="N241" s="137"/>
      <c r="O241" s="138"/>
      <c r="P241" s="138"/>
      <c r="Q241" s="139"/>
      <c r="R241" s="161"/>
      <c r="S241" s="135"/>
    </row>
    <row r="242" spans="1:19" s="133" customFormat="1" x14ac:dyDescent="0.3">
      <c r="A242" s="132"/>
      <c r="C242" s="51" t="s">
        <v>145</v>
      </c>
      <c r="D242" s="51"/>
      <c r="E242" s="118"/>
      <c r="F242" s="118"/>
      <c r="G242" s="119"/>
      <c r="H242" s="118">
        <f>COUNTIF(E230:E232,"*Z*")</f>
        <v>0</v>
      </c>
      <c r="K242" s="136"/>
      <c r="L242" s="136"/>
      <c r="N242" s="137"/>
      <c r="O242" s="138"/>
      <c r="P242" s="138"/>
      <c r="Q242" s="139"/>
      <c r="R242" s="161"/>
      <c r="S242" s="135"/>
    </row>
    <row r="243" spans="1:19" s="133" customFormat="1" x14ac:dyDescent="0.3">
      <c r="A243" s="132"/>
      <c r="C243" s="144"/>
      <c r="D243" s="144"/>
      <c r="G243" s="119"/>
      <c r="K243" s="136"/>
      <c r="L243" s="136"/>
      <c r="N243" s="137"/>
      <c r="O243" s="138"/>
      <c r="P243" s="138"/>
      <c r="Q243" s="139"/>
      <c r="R243" s="161"/>
      <c r="S243" s="135"/>
    </row>
    <row r="244" spans="1:19" s="133" customFormat="1" ht="15" thickBot="1" x14ac:dyDescent="0.35">
      <c r="A244" s="132"/>
      <c r="G244" s="119"/>
      <c r="H244" s="134"/>
      <c r="K244" s="136"/>
      <c r="L244" s="136"/>
      <c r="N244" s="137"/>
      <c r="O244" s="138"/>
      <c r="P244" s="138"/>
      <c r="Q244" s="139"/>
      <c r="R244" s="161"/>
      <c r="S244" s="135"/>
    </row>
    <row r="245" spans="1:19" s="80" customFormat="1" ht="15" thickBot="1" x14ac:dyDescent="0.35">
      <c r="A245" s="142"/>
      <c r="G245" s="149"/>
      <c r="S245" s="162"/>
    </row>
    <row r="247" spans="1:19" x14ac:dyDescent="0.3">
      <c r="A247" s="143" t="s">
        <v>77</v>
      </c>
      <c r="C247" s="51" t="s">
        <v>137</v>
      </c>
      <c r="D247" s="51"/>
      <c r="H247" s="118">
        <f>COUNTIF(T33:T244,"*áno*")</f>
        <v>7</v>
      </c>
    </row>
    <row r="248" spans="1:19" x14ac:dyDescent="0.3">
      <c r="A248" s="143"/>
      <c r="C248" s="51" t="s">
        <v>138</v>
      </c>
      <c r="D248" s="51"/>
      <c r="H248" s="118">
        <f>COUNTIF(E33:E244,"*w*")</f>
        <v>6</v>
      </c>
    </row>
    <row r="249" spans="1:19" x14ac:dyDescent="0.3">
      <c r="A249" s="143"/>
      <c r="C249" s="51" t="s">
        <v>139</v>
      </c>
      <c r="D249" s="51"/>
      <c r="H249" s="118">
        <f>COUNTIF(E33:E244,"*P*")</f>
        <v>4</v>
      </c>
    </row>
    <row r="250" spans="1:19" x14ac:dyDescent="0.3">
      <c r="A250" s="143"/>
      <c r="C250" s="51" t="s">
        <v>140</v>
      </c>
      <c r="D250" s="51"/>
      <c r="H250" s="118">
        <f>COUNTIF(E33:E244,"*L*")</f>
        <v>1</v>
      </c>
    </row>
    <row r="251" spans="1:19" x14ac:dyDescent="0.3">
      <c r="A251" s="143"/>
      <c r="C251" s="51" t="s">
        <v>141</v>
      </c>
      <c r="D251" s="51"/>
      <c r="H251" s="118">
        <f>COUNTIF(E33:E244,"*V*")</f>
        <v>2</v>
      </c>
    </row>
    <row r="252" spans="1:19" x14ac:dyDescent="0.3">
      <c r="A252" s="143"/>
      <c r="C252" s="51"/>
      <c r="D252" s="51"/>
    </row>
    <row r="253" spans="1:19" x14ac:dyDescent="0.3">
      <c r="A253" s="51"/>
      <c r="C253" s="51" t="s">
        <v>142</v>
      </c>
      <c r="D253" s="51"/>
      <c r="H253" s="118">
        <f>COUNTIF(E33:E244,"*D*")</f>
        <v>7</v>
      </c>
    </row>
    <row r="254" spans="1:19" x14ac:dyDescent="0.3">
      <c r="A254" s="51"/>
      <c r="C254" s="51" t="s">
        <v>143</v>
      </c>
      <c r="D254" s="51"/>
      <c r="H254" s="118">
        <f>COUNTIF(E33:E244,"*S*")</f>
        <v>0</v>
      </c>
    </row>
    <row r="255" spans="1:19" x14ac:dyDescent="0.3">
      <c r="A255" s="51"/>
      <c r="C255" s="51" t="s">
        <v>144</v>
      </c>
      <c r="D255" s="51"/>
      <c r="H255" s="118">
        <f>COUNTIF(E33:E244,"*K*")</f>
        <v>0</v>
      </c>
    </row>
    <row r="256" spans="1:19" x14ac:dyDescent="0.3">
      <c r="A256" s="144"/>
      <c r="C256" s="51" t="s">
        <v>145</v>
      </c>
      <c r="D256" s="51"/>
      <c r="H256" s="118">
        <f>COUNTIF(E33:E244,"*Z*")</f>
        <v>7</v>
      </c>
    </row>
    <row r="258" spans="1:20" s="145" customFormat="1" ht="15" customHeight="1" x14ac:dyDescent="0.3">
      <c r="A258" s="426" t="s">
        <v>146</v>
      </c>
      <c r="B258" s="427"/>
      <c r="C258" s="428" t="s">
        <v>48</v>
      </c>
      <c r="D258" s="429"/>
      <c r="E258" s="430"/>
      <c r="F258" s="431" t="s">
        <v>147</v>
      </c>
      <c r="G258" s="432"/>
      <c r="H258" s="433"/>
      <c r="I258" s="434" t="s">
        <v>45</v>
      </c>
      <c r="J258" s="435"/>
      <c r="K258" s="436" t="s">
        <v>46</v>
      </c>
      <c r="L258" s="437"/>
      <c r="M258" s="438" t="s">
        <v>47</v>
      </c>
      <c r="N258" s="439"/>
      <c r="O258" s="440" t="s">
        <v>148</v>
      </c>
      <c r="P258" s="441"/>
      <c r="Q258" s="452" t="s">
        <v>149</v>
      </c>
      <c r="R258" s="453"/>
      <c r="S258" s="163"/>
    </row>
    <row r="259" spans="1:20" s="143" customFormat="1" ht="15" customHeight="1" x14ac:dyDescent="0.3">
      <c r="A259" s="426" t="s">
        <v>150</v>
      </c>
      <c r="B259" s="427"/>
      <c r="C259" s="456" t="s">
        <v>151</v>
      </c>
      <c r="D259" s="457"/>
      <c r="E259" s="458"/>
      <c r="F259" s="431" t="s">
        <v>152</v>
      </c>
      <c r="G259" s="432"/>
      <c r="H259" s="433"/>
      <c r="I259" s="434" t="s">
        <v>153</v>
      </c>
      <c r="J259" s="435"/>
      <c r="K259" s="436" t="s">
        <v>154</v>
      </c>
      <c r="L259" s="437"/>
      <c r="M259" s="438" t="s">
        <v>155</v>
      </c>
      <c r="N259" s="439"/>
      <c r="O259" s="440" t="s">
        <v>156</v>
      </c>
      <c r="P259" s="441"/>
      <c r="Q259" s="452" t="s">
        <v>157</v>
      </c>
      <c r="R259" s="453"/>
      <c r="S259" s="164"/>
      <c r="T259" s="359"/>
    </row>
    <row r="260" spans="1:20" s="143" customFormat="1" x14ac:dyDescent="0.3">
      <c r="A260" s="426" t="s">
        <v>49</v>
      </c>
      <c r="B260" s="427"/>
      <c r="C260" s="98" t="s">
        <v>78</v>
      </c>
      <c r="D260" s="293"/>
      <c r="E260" s="456" t="s">
        <v>51</v>
      </c>
      <c r="F260" s="458"/>
      <c r="G260" s="341"/>
      <c r="H260" s="431" t="s">
        <v>52</v>
      </c>
      <c r="I260" s="433"/>
      <c r="J260" s="434" t="s">
        <v>53</v>
      </c>
      <c r="K260" s="435"/>
      <c r="L260" s="464" t="s">
        <v>54</v>
      </c>
      <c r="M260" s="465"/>
      <c r="N260" s="436" t="s">
        <v>55</v>
      </c>
      <c r="O260" s="437"/>
      <c r="P260" s="438" t="s">
        <v>56</v>
      </c>
      <c r="Q260" s="439"/>
      <c r="R260" s="440" t="s">
        <v>57</v>
      </c>
      <c r="S260" s="441"/>
      <c r="T260" s="360" t="s">
        <v>58</v>
      </c>
    </row>
    <row r="261" spans="1:20" s="143" customFormat="1" x14ac:dyDescent="0.3">
      <c r="A261" s="426" t="s">
        <v>50</v>
      </c>
      <c r="B261" s="427"/>
      <c r="C261" s="98" t="s">
        <v>79</v>
      </c>
      <c r="D261" s="293"/>
      <c r="E261" s="456" t="s">
        <v>59</v>
      </c>
      <c r="F261" s="458"/>
      <c r="G261" s="341"/>
      <c r="H261" s="431" t="s">
        <v>60</v>
      </c>
      <c r="I261" s="433"/>
      <c r="J261" s="434" t="s">
        <v>61</v>
      </c>
      <c r="K261" s="435"/>
      <c r="L261" s="436" t="s">
        <v>62</v>
      </c>
      <c r="M261" s="437"/>
      <c r="N261" s="438" t="s">
        <v>82</v>
      </c>
      <c r="O261" s="439"/>
      <c r="P261" s="440" t="s">
        <v>83</v>
      </c>
      <c r="Q261" s="441"/>
      <c r="R261" s="452" t="s">
        <v>81</v>
      </c>
      <c r="S261" s="453"/>
      <c r="T261" s="359"/>
    </row>
    <row r="262" spans="1:20" s="143" customFormat="1" x14ac:dyDescent="0.3">
      <c r="A262" s="426" t="s">
        <v>71</v>
      </c>
      <c r="B262" s="427"/>
      <c r="C262" s="98" t="s">
        <v>78</v>
      </c>
      <c r="D262" s="293"/>
      <c r="E262" s="456" t="s">
        <v>52</v>
      </c>
      <c r="F262" s="458"/>
      <c r="G262" s="341"/>
      <c r="H262" s="431" t="s">
        <v>53</v>
      </c>
      <c r="I262" s="433"/>
      <c r="J262" s="434" t="s">
        <v>72</v>
      </c>
      <c r="K262" s="435"/>
      <c r="L262" s="436" t="s">
        <v>73</v>
      </c>
      <c r="M262" s="437"/>
      <c r="N262" s="438" t="s">
        <v>75</v>
      </c>
      <c r="O262" s="439"/>
      <c r="P262" s="440" t="s">
        <v>74</v>
      </c>
      <c r="Q262" s="441"/>
      <c r="R262" s="452" t="s">
        <v>76</v>
      </c>
      <c r="S262" s="453"/>
      <c r="T262" s="359"/>
    </row>
    <row r="263" spans="1:20" s="143" customFormat="1" x14ac:dyDescent="0.3">
      <c r="A263" s="426" t="s">
        <v>70</v>
      </c>
      <c r="B263" s="427"/>
      <c r="C263" s="98" t="s">
        <v>80</v>
      </c>
      <c r="D263" s="293"/>
      <c r="E263" s="466" t="s">
        <v>63</v>
      </c>
      <c r="F263" s="467"/>
      <c r="G263" s="342"/>
      <c r="H263" s="456" t="s">
        <v>64</v>
      </c>
      <c r="I263" s="458"/>
      <c r="J263" s="431" t="s">
        <v>65</v>
      </c>
      <c r="K263" s="433"/>
      <c r="L263" s="434" t="s">
        <v>158</v>
      </c>
      <c r="M263" s="435"/>
      <c r="N263" s="436" t="s">
        <v>66</v>
      </c>
      <c r="O263" s="437"/>
      <c r="P263" s="438" t="s">
        <v>67</v>
      </c>
      <c r="Q263" s="439"/>
      <c r="R263" s="440" t="s">
        <v>68</v>
      </c>
      <c r="S263" s="441"/>
      <c r="T263" s="361" t="s">
        <v>69</v>
      </c>
    </row>
    <row r="264" spans="1:20" s="145" customFormat="1" ht="15" customHeight="1" x14ac:dyDescent="0.3">
      <c r="A264" s="472" t="s">
        <v>159</v>
      </c>
      <c r="B264" s="473"/>
      <c r="C264" s="146" t="s">
        <v>160</v>
      </c>
      <c r="D264" s="294"/>
      <c r="E264" s="484" t="s">
        <v>161</v>
      </c>
      <c r="F264" s="485"/>
      <c r="G264" s="343"/>
      <c r="H264" s="486" t="s">
        <v>162</v>
      </c>
      <c r="I264" s="487"/>
      <c r="J264" s="488" t="s">
        <v>163</v>
      </c>
      <c r="K264" s="489"/>
      <c r="L264" s="474" t="s">
        <v>164</v>
      </c>
      <c r="M264" s="475"/>
      <c r="N264" s="476" t="s">
        <v>165</v>
      </c>
      <c r="O264" s="477"/>
      <c r="P264" s="468" t="s">
        <v>166</v>
      </c>
      <c r="Q264" s="469"/>
      <c r="R264" s="470" t="s">
        <v>167</v>
      </c>
      <c r="S264" s="471"/>
    </row>
    <row r="265" spans="1:20" ht="15" customHeight="1" x14ac:dyDescent="0.3">
      <c r="A265" s="472" t="s">
        <v>129</v>
      </c>
      <c r="B265" s="473"/>
      <c r="C265" s="147" t="s">
        <v>168</v>
      </c>
      <c r="D265" s="356"/>
      <c r="E265" s="474" t="s">
        <v>169</v>
      </c>
      <c r="F265" s="475"/>
      <c r="G265" s="344"/>
      <c r="H265" s="476" t="s">
        <v>170</v>
      </c>
      <c r="I265" s="477"/>
      <c r="J265" s="468" t="s">
        <v>171</v>
      </c>
      <c r="K265" s="469"/>
      <c r="L265" s="470" t="s">
        <v>172</v>
      </c>
      <c r="M265" s="471"/>
      <c r="N265" s="478" t="s">
        <v>173</v>
      </c>
      <c r="O265" s="479"/>
      <c r="P265" s="480" t="s">
        <v>174</v>
      </c>
      <c r="Q265" s="481"/>
      <c r="R265" s="482" t="s">
        <v>175</v>
      </c>
      <c r="S265" s="483"/>
    </row>
  </sheetData>
  <mergeCells count="73">
    <mergeCell ref="P264:Q264"/>
    <mergeCell ref="R264:S264"/>
    <mergeCell ref="A265:B265"/>
    <mergeCell ref="E265:F265"/>
    <mergeCell ref="H265:I265"/>
    <mergeCell ref="J265:K265"/>
    <mergeCell ref="L265:M265"/>
    <mergeCell ref="N265:O265"/>
    <mergeCell ref="P265:Q265"/>
    <mergeCell ref="R265:S265"/>
    <mergeCell ref="A264:B264"/>
    <mergeCell ref="E264:F264"/>
    <mergeCell ref="H264:I264"/>
    <mergeCell ref="J264:K264"/>
    <mergeCell ref="L264:M264"/>
    <mergeCell ref="N264:O264"/>
    <mergeCell ref="P262:Q262"/>
    <mergeCell ref="R262:S262"/>
    <mergeCell ref="A263:B263"/>
    <mergeCell ref="E263:F263"/>
    <mergeCell ref="H263:I263"/>
    <mergeCell ref="J263:K263"/>
    <mergeCell ref="L263:M263"/>
    <mergeCell ref="N263:O263"/>
    <mergeCell ref="P263:Q263"/>
    <mergeCell ref="R263:S263"/>
    <mergeCell ref="A262:B262"/>
    <mergeCell ref="E262:F262"/>
    <mergeCell ref="H262:I262"/>
    <mergeCell ref="J262:K262"/>
    <mergeCell ref="L262:M262"/>
    <mergeCell ref="N262:O262"/>
    <mergeCell ref="P260:Q260"/>
    <mergeCell ref="R260:S260"/>
    <mergeCell ref="A261:B261"/>
    <mergeCell ref="E261:F261"/>
    <mergeCell ref="H261:I261"/>
    <mergeCell ref="J261:K261"/>
    <mergeCell ref="L261:M261"/>
    <mergeCell ref="N261:O261"/>
    <mergeCell ref="P261:Q261"/>
    <mergeCell ref="R261:S261"/>
    <mergeCell ref="A260:B260"/>
    <mergeCell ref="E260:F260"/>
    <mergeCell ref="H260:I260"/>
    <mergeCell ref="J260:K260"/>
    <mergeCell ref="L260:M260"/>
    <mergeCell ref="N260:O260"/>
    <mergeCell ref="M259:N259"/>
    <mergeCell ref="O259:P259"/>
    <mergeCell ref="Q259:R259"/>
    <mergeCell ref="N1:Q1"/>
    <mergeCell ref="R1:T1"/>
    <mergeCell ref="A259:B259"/>
    <mergeCell ref="C259:E259"/>
    <mergeCell ref="F259:H259"/>
    <mergeCell ref="I259:J259"/>
    <mergeCell ref="K259:L259"/>
    <mergeCell ref="U1:U2"/>
    <mergeCell ref="A258:B258"/>
    <mergeCell ref="C258:E258"/>
    <mergeCell ref="F258:H258"/>
    <mergeCell ref="I258:J258"/>
    <mergeCell ref="K258:L258"/>
    <mergeCell ref="M258:N258"/>
    <mergeCell ref="O258:P258"/>
    <mergeCell ref="A1:A2"/>
    <mergeCell ref="B1:B2"/>
    <mergeCell ref="E1:H1"/>
    <mergeCell ref="K1:M1"/>
    <mergeCell ref="I1:J1"/>
    <mergeCell ref="Q258:R258"/>
    <mergeCell ref="C1:D1"/>
  </mergeCells>
  <conditionalFormatting sqref="C8:D11">
    <cfRule type="expression" dxfId="123" priority="39">
      <formula>$A8="SUMÁCIA:"</formula>
    </cfRule>
  </conditionalFormatting>
  <conditionalFormatting sqref="C12:D13">
    <cfRule type="expression" dxfId="122" priority="37">
      <formula>$E12="VB"</formula>
    </cfRule>
    <cfRule type="expression" dxfId="121" priority="38">
      <formula>#REF!="SUMÁCIA:"</formula>
    </cfRule>
  </conditionalFormatting>
  <conditionalFormatting sqref="C14:D31 C175:D243 A247:A256 C253:D256">
    <cfRule type="expression" dxfId="120" priority="122">
      <formula>$A14="SUMÁCIA:"</formula>
    </cfRule>
  </conditionalFormatting>
  <conditionalFormatting sqref="C15:D31 C176:D243 A254:A256 C254:D256">
    <cfRule type="expression" dxfId="119" priority="121">
      <formula>$E15="VB"</formula>
    </cfRule>
  </conditionalFormatting>
  <conditionalFormatting sqref="C26:D27">
    <cfRule type="expression" dxfId="118" priority="35">
      <formula>$E26="VB"</formula>
    </cfRule>
    <cfRule type="expression" dxfId="117" priority="36">
      <formula>#REF!="SUMÁCIA:"</formula>
    </cfRule>
  </conditionalFormatting>
  <conditionalFormatting sqref="C37:D40">
    <cfRule type="expression" dxfId="116" priority="64">
      <formula>$A37="SUMÁCIA:"</formula>
    </cfRule>
  </conditionalFormatting>
  <conditionalFormatting sqref="C41:D42">
    <cfRule type="expression" dxfId="115" priority="61">
      <formula>#REF!="SUMÁCIA:"</formula>
    </cfRule>
    <cfRule type="expression" dxfId="114" priority="60">
      <formula>$E41="VB"</formula>
    </cfRule>
  </conditionalFormatting>
  <conditionalFormatting sqref="C43:D46">
    <cfRule type="expression" dxfId="113" priority="63">
      <formula>$A43="SUMÁCIA:"</formula>
    </cfRule>
  </conditionalFormatting>
  <conditionalFormatting sqref="C44:D46">
    <cfRule type="expression" dxfId="112" priority="62">
      <formula>$E44="VB"</formula>
    </cfRule>
  </conditionalFormatting>
  <conditionalFormatting sqref="C57:D60">
    <cfRule type="expression" dxfId="111" priority="59">
      <formula>$A57="SUMÁCIA:"</formula>
    </cfRule>
  </conditionalFormatting>
  <conditionalFormatting sqref="C61:D62">
    <cfRule type="expression" dxfId="110" priority="55">
      <formula>$E61="VB"</formula>
    </cfRule>
    <cfRule type="expression" dxfId="109" priority="56">
      <formula>#REF!="SUMÁCIA:"</formula>
    </cfRule>
  </conditionalFormatting>
  <conditionalFormatting sqref="C63:D66">
    <cfRule type="expression" dxfId="108" priority="58">
      <formula>$A63="SUMÁCIA:"</formula>
    </cfRule>
  </conditionalFormatting>
  <conditionalFormatting sqref="C64:D66">
    <cfRule type="expression" dxfId="107" priority="57">
      <formula>$E64="VB"</formula>
    </cfRule>
  </conditionalFormatting>
  <conditionalFormatting sqref="C77:D80">
    <cfRule type="expression" dxfId="106" priority="54">
      <formula>$A77="SUMÁCIA:"</formula>
    </cfRule>
  </conditionalFormatting>
  <conditionalFormatting sqref="C81:D82">
    <cfRule type="expression" dxfId="105" priority="51">
      <formula>#REF!="SUMÁCIA:"</formula>
    </cfRule>
    <cfRule type="expression" dxfId="104" priority="50">
      <formula>$E81="VB"</formula>
    </cfRule>
  </conditionalFormatting>
  <conditionalFormatting sqref="C83:D86">
    <cfRule type="expression" dxfId="103" priority="53">
      <formula>$A83="SUMÁCIA:"</formula>
    </cfRule>
  </conditionalFormatting>
  <conditionalFormatting sqref="C84:D86">
    <cfRule type="expression" dxfId="102" priority="52">
      <formula>$E84="VB"</formula>
    </cfRule>
  </conditionalFormatting>
  <conditionalFormatting sqref="C107:D110">
    <cfRule type="expression" dxfId="101" priority="49">
      <formula>$A107="SUMÁCIA:"</formula>
    </cfRule>
  </conditionalFormatting>
  <conditionalFormatting sqref="C111:D112">
    <cfRule type="expression" dxfId="100" priority="46">
      <formula>#REF!="SUMÁCIA:"</formula>
    </cfRule>
    <cfRule type="expression" dxfId="99" priority="45">
      <formula>$E111="VB"</formula>
    </cfRule>
  </conditionalFormatting>
  <conditionalFormatting sqref="C113:D116">
    <cfRule type="expression" dxfId="98" priority="48">
      <formula>$A113="SUMÁCIA:"</formula>
    </cfRule>
  </conditionalFormatting>
  <conditionalFormatting sqref="C114:D116">
    <cfRule type="expression" dxfId="97" priority="47">
      <formula>$E114="VB"</formula>
    </cfRule>
  </conditionalFormatting>
  <conditionalFormatting sqref="C140:D143">
    <cfRule type="expression" dxfId="96" priority="44">
      <formula>$A140="SUMÁCIA:"</formula>
    </cfRule>
  </conditionalFormatting>
  <conditionalFormatting sqref="C144:D145">
    <cfRule type="expression" dxfId="95" priority="41">
      <formula>#REF!="SUMÁCIA:"</formula>
    </cfRule>
    <cfRule type="expression" dxfId="94" priority="40">
      <formula>$E144="VB"</formula>
    </cfRule>
  </conditionalFormatting>
  <conditionalFormatting sqref="C146:D149">
    <cfRule type="expression" dxfId="93" priority="43">
      <formula>$A146="SUMÁCIA:"</formula>
    </cfRule>
  </conditionalFormatting>
  <conditionalFormatting sqref="C147:D149">
    <cfRule type="expression" dxfId="92" priority="42">
      <formula>$E147="VB"</formula>
    </cfRule>
  </conditionalFormatting>
  <conditionalFormatting sqref="C169:D172">
    <cfRule type="expression" dxfId="91" priority="33">
      <formula>$A169="SUMÁCIA:"</formula>
    </cfRule>
  </conditionalFormatting>
  <conditionalFormatting sqref="C173:D174">
    <cfRule type="expression" dxfId="90" priority="32">
      <formula>#REF!="SUMÁCIA:"</formula>
    </cfRule>
    <cfRule type="expression" dxfId="89" priority="31">
      <formula>$E173="VB"</formula>
    </cfRule>
  </conditionalFormatting>
  <conditionalFormatting sqref="C192:D193">
    <cfRule type="expression" dxfId="88" priority="29">
      <formula>#REF!="SUMÁCIA:"</formula>
    </cfRule>
    <cfRule type="expression" dxfId="87" priority="28">
      <formula>$E192="VB"</formula>
    </cfRule>
  </conditionalFormatting>
  <conditionalFormatting sqref="C207:D208">
    <cfRule type="expression" dxfId="86" priority="27">
      <formula>#REF!="SUMÁCIA:"</formula>
    </cfRule>
    <cfRule type="expression" dxfId="85" priority="26">
      <formula>$E207="VB"</formula>
    </cfRule>
  </conditionalFormatting>
  <conditionalFormatting sqref="C222:D223">
    <cfRule type="expression" dxfId="84" priority="24">
      <formula>$E222="VB"</formula>
    </cfRule>
    <cfRule type="expression" dxfId="83" priority="25">
      <formula>#REF!="SUMÁCIA:"</formula>
    </cfRule>
  </conditionalFormatting>
  <conditionalFormatting sqref="C237:D238">
    <cfRule type="expression" dxfId="82" priority="22">
      <formula>#REF!="SUMÁCIA:"</formula>
    </cfRule>
    <cfRule type="expression" dxfId="81" priority="21">
      <formula>$E237="VB"</formula>
    </cfRule>
  </conditionalFormatting>
  <conditionalFormatting sqref="C247:D250">
    <cfRule type="expression" dxfId="80" priority="123">
      <formula>$A247="SUMÁCIA:"</formula>
    </cfRule>
  </conditionalFormatting>
  <conditionalFormatting sqref="C251:D252">
    <cfRule type="expression" dxfId="79" priority="65">
      <formula>$E251="VB"</formula>
    </cfRule>
    <cfRule type="expression" dxfId="78" priority="66">
      <formula>#REF!="SUMÁCIA:"</formula>
    </cfRule>
  </conditionalFormatting>
  <conditionalFormatting sqref="C259:D259 F259:G259 J260 H261">
    <cfRule type="cellIs" dxfId="77" priority="113" operator="lessThan">
      <formula>-20</formula>
    </cfRule>
  </conditionalFormatting>
  <conditionalFormatting sqref="G5:G244">
    <cfRule type="cellIs" dxfId="76" priority="10" operator="between">
      <formula>40</formula>
      <formula>45</formula>
    </cfRule>
    <cfRule type="cellIs" dxfId="75" priority="4" operator="greaterThan">
      <formula>65</formula>
    </cfRule>
    <cfRule type="cellIs" dxfId="74" priority="5" operator="between">
      <formula>63</formula>
      <formula>65</formula>
    </cfRule>
    <cfRule type="cellIs" dxfId="73" priority="6" operator="between">
      <formula>60</formula>
      <formula>63</formula>
    </cfRule>
    <cfRule type="cellIs" dxfId="72" priority="7" operator="between">
      <formula>55</formula>
      <formula>60</formula>
    </cfRule>
    <cfRule type="cellIs" dxfId="71" priority="9" operator="between">
      <formula>45</formula>
      <formula>50</formula>
    </cfRule>
    <cfRule type="cellIs" dxfId="70" priority="11" operator="between">
      <formula>30</formula>
      <formula>40</formula>
    </cfRule>
    <cfRule type="cellIs" dxfId="69" priority="8" operator="between">
      <formula>50</formula>
      <formula>55</formula>
    </cfRule>
  </conditionalFormatting>
  <conditionalFormatting sqref="H3:H244">
    <cfRule type="cellIs" dxfId="68" priority="34" operator="greaterThan">
      <formula>65</formula>
    </cfRule>
  </conditionalFormatting>
  <conditionalFormatting sqref="H8:H31 A32:F150 H32:V150 A151:V151 H152:V162 A152:G244 T163:V166 H167:V167 H168:O244 Q168:V244 C8:F31 G5:G150 W32:AA244 P168 P170:P244">
    <cfRule type="containsBlanks" dxfId="67" priority="75">
      <formula>LEN(TRIM(A5))=0</formula>
    </cfRule>
  </conditionalFormatting>
  <conditionalFormatting sqref="H8:H244 E145:E244 M145:M244 Q145:Q244 U145:U244">
    <cfRule type="cellIs" dxfId="66" priority="71" operator="between">
      <formula>50</formula>
      <formula>55</formula>
    </cfRule>
    <cfRule type="cellIs" dxfId="65" priority="69" operator="between">
      <formula>60</formula>
      <formula>63</formula>
    </cfRule>
    <cfRule type="cellIs" dxfId="64" priority="70" operator="between">
      <formula>55</formula>
      <formula>60</formula>
    </cfRule>
    <cfRule type="cellIs" dxfId="63" priority="74" operator="between">
      <formula>30</formula>
      <formula>40</formula>
    </cfRule>
    <cfRule type="cellIs" dxfId="62" priority="73" operator="between">
      <formula>40</formula>
      <formula>45</formula>
    </cfRule>
    <cfRule type="cellIs" dxfId="61" priority="72" operator="between">
      <formula>45</formula>
      <formula>50</formula>
    </cfRule>
  </conditionalFormatting>
  <conditionalFormatting sqref="H8:H244 M145:M244 Q145:Q244 E145:E244 U145:U244">
    <cfRule type="cellIs" dxfId="60" priority="68" operator="between">
      <formula>63</formula>
      <formula>65</formula>
    </cfRule>
  </conditionalFormatting>
  <conditionalFormatting sqref="H163:R166">
    <cfRule type="containsBlanks" dxfId="59" priority="12">
      <formula>LEN(TRIM(H163))=0</formula>
    </cfRule>
  </conditionalFormatting>
  <conditionalFormatting sqref="K33:K244">
    <cfRule type="cellIs" dxfId="58" priority="114" operator="greaterThan">
      <formula>30</formula>
    </cfRule>
    <cfRule type="cellIs" dxfId="57" priority="116" operator="between">
      <formula>20</formula>
      <formula>25</formula>
    </cfRule>
    <cfRule type="cellIs" dxfId="56" priority="117" operator="between">
      <formula>15</formula>
      <formula>20</formula>
    </cfRule>
    <cfRule type="cellIs" dxfId="55" priority="118" operator="between">
      <formula>10</formula>
      <formula>15</formula>
    </cfRule>
    <cfRule type="cellIs" dxfId="54" priority="119" operator="between">
      <formula>5</formula>
      <formula>10</formula>
    </cfRule>
    <cfRule type="cellIs" dxfId="53" priority="120" operator="between">
      <formula>0</formula>
      <formula>5</formula>
    </cfRule>
    <cfRule type="cellIs" dxfId="52" priority="115" operator="between">
      <formula>25</formula>
      <formula>30</formula>
    </cfRule>
  </conditionalFormatting>
  <conditionalFormatting sqref="L33:L244">
    <cfRule type="cellIs" dxfId="51" priority="109" operator="between">
      <formula>8</formula>
      <formula>11</formula>
    </cfRule>
    <cfRule type="cellIs" dxfId="50" priority="110" operator="between">
      <formula>5</formula>
      <formula>8</formula>
    </cfRule>
    <cfRule type="cellIs" dxfId="49" priority="111" operator="between">
      <formula>2</formula>
      <formula>5</formula>
    </cfRule>
    <cfRule type="cellIs" dxfId="48" priority="112" operator="between">
      <formula>0</formula>
      <formula>2</formula>
    </cfRule>
    <cfRule type="cellIs" dxfId="47" priority="108" operator="between">
      <formula>11</formula>
      <formula>13</formula>
    </cfRule>
    <cfRule type="cellIs" dxfId="46" priority="106" operator="greaterThan">
      <formula>15</formula>
    </cfRule>
    <cfRule type="cellIs" dxfId="45" priority="107" operator="between">
      <formula>13</formula>
      <formula>15</formula>
    </cfRule>
  </conditionalFormatting>
  <conditionalFormatting sqref="N33:N244">
    <cfRule type="cellIs" dxfId="44" priority="103" operator="between">
      <formula>50</formula>
      <formula>90</formula>
    </cfRule>
    <cfRule type="cellIs" dxfId="43" priority="101" operator="greaterThan">
      <formula>150</formula>
    </cfRule>
    <cfRule type="cellIs" dxfId="42" priority="102" operator="between">
      <formula>90</formula>
      <formula>150</formula>
    </cfRule>
    <cfRule type="cellIs" dxfId="41" priority="105" operator="between">
      <formula>5</formula>
      <formula>15</formula>
    </cfRule>
    <cfRule type="cellIs" dxfId="40" priority="104" operator="between">
      <formula>30</formula>
      <formula>50</formula>
    </cfRule>
  </conditionalFormatting>
  <conditionalFormatting sqref="N33:O150 N152:O244">
    <cfRule type="cellIs" dxfId="39" priority="100" operator="between">
      <formula>0</formula>
      <formula>5</formula>
    </cfRule>
    <cfRule type="cellIs" dxfId="38" priority="97" operator="between">
      <formula>15</formula>
      <formula>30</formula>
    </cfRule>
  </conditionalFormatting>
  <conditionalFormatting sqref="N151:O151">
    <cfRule type="cellIs" dxfId="37" priority="2" operator="between">
      <formula>15</formula>
      <formula>30</formula>
    </cfRule>
    <cfRule type="cellIs" dxfId="36" priority="3" operator="between">
      <formula>0</formula>
      <formula>5</formula>
    </cfRule>
  </conditionalFormatting>
  <conditionalFormatting sqref="N33:Q150 N152:Q167 P168 N168:O179 Q168:Q179 P170:P179 N180:Q244">
    <cfRule type="cellIs" dxfId="35" priority="77" operator="equal">
      <formula>0</formula>
    </cfRule>
  </conditionalFormatting>
  <conditionalFormatting sqref="N151:Q151">
    <cfRule type="cellIs" dxfId="34" priority="1" operator="equal">
      <formula>0</formula>
    </cfRule>
  </conditionalFormatting>
  <conditionalFormatting sqref="O33:O244">
    <cfRule type="cellIs" dxfId="33" priority="96" operator="between">
      <formula>30</formula>
      <formula>45</formula>
    </cfRule>
    <cfRule type="cellIs" dxfId="32" priority="98" operator="between">
      <formula>10</formula>
      <formula>15</formula>
    </cfRule>
    <cfRule type="cellIs" dxfId="31" priority="99" operator="between">
      <formula>5</formula>
      <formula>10</formula>
    </cfRule>
    <cfRule type="cellIs" dxfId="30" priority="93" operator="greaterThan">
      <formula>80</formula>
    </cfRule>
    <cfRule type="cellIs" dxfId="29" priority="94" operator="between">
      <formula>60</formula>
      <formula>80</formula>
    </cfRule>
    <cfRule type="cellIs" dxfId="28" priority="95" operator="between">
      <formula>45</formula>
      <formula>60</formula>
    </cfRule>
  </conditionalFormatting>
  <conditionalFormatting sqref="P33:P168 P170:P244">
    <cfRule type="cellIs" dxfId="27" priority="86" operator="greaterThan">
      <formula>50</formula>
    </cfRule>
    <cfRule type="cellIs" dxfId="26" priority="87" operator="between">
      <formula>40</formula>
      <formula>50</formula>
    </cfRule>
    <cfRule type="cellIs" dxfId="25" priority="92" operator="between">
      <formula>5</formula>
      <formula>10</formula>
    </cfRule>
    <cfRule type="cellIs" dxfId="24" priority="91" operator="between">
      <formula>10</formula>
      <formula>15</formula>
    </cfRule>
    <cfRule type="cellIs" dxfId="23" priority="90" operator="between">
      <formula>15</formula>
      <formula>20</formula>
    </cfRule>
    <cfRule type="cellIs" dxfId="22" priority="89" operator="between">
      <formula>20</formula>
      <formula>30</formula>
    </cfRule>
    <cfRule type="cellIs" dxfId="21" priority="88" operator="between">
      <formula>30</formula>
      <formula>40</formula>
    </cfRule>
  </conditionalFormatting>
  <conditionalFormatting sqref="Q33:Q244">
    <cfRule type="cellIs" dxfId="20" priority="84" operator="between">
      <formula>1</formula>
      <formula>3</formula>
    </cfRule>
    <cfRule type="cellIs" dxfId="19" priority="85" operator="between">
      <formula>0</formula>
      <formula>1</formula>
    </cfRule>
    <cfRule type="cellIs" dxfId="18" priority="78" operator="greaterThan">
      <formula>30</formula>
    </cfRule>
    <cfRule type="cellIs" dxfId="17" priority="79" operator="between">
      <formula>20</formula>
      <formula>30</formula>
    </cfRule>
    <cfRule type="cellIs" dxfId="16" priority="80" operator="between">
      <formula>15</formula>
      <formula>20</formula>
    </cfRule>
    <cfRule type="cellIs" dxfId="15" priority="81" operator="between">
      <formula>10</formula>
      <formula>15</formula>
    </cfRule>
    <cfRule type="cellIs" dxfId="14" priority="82" operator="between">
      <formula>5</formula>
      <formula>10</formula>
    </cfRule>
    <cfRule type="cellIs" dxfId="13" priority="83" operator="between">
      <formula>3</formula>
      <formula>5</formula>
    </cfRule>
  </conditionalFormatting>
  <conditionalFormatting sqref="R33:R162 R167:R244">
    <cfRule type="cellIs" dxfId="12" priority="76" operator="greaterThan">
      <formula>2500</formula>
    </cfRule>
  </conditionalFormatting>
  <conditionalFormatting sqref="R33:R244">
    <cfRule type="cellIs" dxfId="11" priority="20" operator="between">
      <formula>1</formula>
      <formula>10</formula>
    </cfRule>
    <cfRule type="cellIs" dxfId="10" priority="19" operator="between">
      <formula>10</formula>
      <formula>50</formula>
    </cfRule>
    <cfRule type="cellIs" dxfId="9" priority="18" operator="between">
      <formula>50</formula>
      <formula>350</formula>
    </cfRule>
    <cfRule type="cellIs" dxfId="8" priority="17" operator="between">
      <formula>350</formula>
      <formula>700</formula>
    </cfRule>
    <cfRule type="cellIs" dxfId="7" priority="15" operator="between">
      <formula>1200</formula>
      <formula>1800</formula>
    </cfRule>
    <cfRule type="cellIs" dxfId="6" priority="14" operator="between">
      <formula>1800</formula>
      <formula>2500</formula>
    </cfRule>
    <cfRule type="cellIs" dxfId="5" priority="16" operator="between">
      <formula>700</formula>
      <formula>1200</formula>
    </cfRule>
  </conditionalFormatting>
  <conditionalFormatting sqref="R163:R166">
    <cfRule type="cellIs" dxfId="4" priority="13" operator="greaterThan">
      <formula>2500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6" filterMode="1"/>
  <dimension ref="A1:AG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3" sqref="E23"/>
    </sheetView>
  </sheetViews>
  <sheetFormatPr defaultRowHeight="14.4" x14ac:dyDescent="0.3"/>
  <cols>
    <col min="1" max="1" width="12.88671875" customWidth="1"/>
    <col min="2" max="11" width="8.88671875" style="1" customWidth="1"/>
    <col min="12" max="13" width="8.88671875" style="3" customWidth="1"/>
    <col min="14" max="14" width="8.77734375" style="3" customWidth="1"/>
    <col min="15" max="15" width="8.88671875" style="2" customWidth="1"/>
    <col min="16" max="16" width="7.6640625" style="2" customWidth="1"/>
    <col min="17" max="17" width="8.88671875" style="2" customWidth="1"/>
    <col min="18" max="18" width="8.88671875" style="6" customWidth="1"/>
    <col min="19" max="21" width="10.6640625" style="6" customWidth="1"/>
    <col min="22" max="22" width="10.5546875" style="6" customWidth="1"/>
    <col min="23" max="23" width="10.5546875" style="7" customWidth="1"/>
    <col min="24" max="24" width="10" style="7" customWidth="1"/>
    <col min="25" max="25" width="10.5546875" style="7" customWidth="1"/>
    <col min="26" max="26" width="10.44140625" customWidth="1"/>
    <col min="27" max="27" width="11.44140625" style="8" customWidth="1"/>
    <col min="28" max="28" width="11.109375" style="10" customWidth="1"/>
    <col min="29" max="29" width="10.44140625" style="10" customWidth="1"/>
    <col min="30" max="30" width="10" style="12" customWidth="1"/>
    <col min="31" max="31" width="10.44140625" style="12" customWidth="1"/>
    <col min="32" max="32" width="10.5546875" customWidth="1"/>
    <col min="33" max="33" width="10" customWidth="1"/>
  </cols>
  <sheetData>
    <row r="1" spans="1:33" ht="16.2" thickBot="1" x14ac:dyDescent="0.35">
      <c r="A1" s="43" t="s">
        <v>1</v>
      </c>
      <c r="B1" s="501" t="s">
        <v>2</v>
      </c>
      <c r="C1" s="502"/>
      <c r="D1" s="502"/>
      <c r="E1" s="502"/>
      <c r="F1" s="502"/>
      <c r="G1" s="502"/>
      <c r="H1" s="502"/>
      <c r="I1" s="503"/>
      <c r="J1" s="498" t="s">
        <v>5</v>
      </c>
      <c r="K1" s="499"/>
      <c r="L1" s="500"/>
      <c r="M1" s="504" t="s">
        <v>36</v>
      </c>
      <c r="N1" s="505"/>
      <c r="O1" s="505"/>
      <c r="P1" s="505"/>
      <c r="Q1" s="505"/>
      <c r="R1" s="506"/>
      <c r="S1" s="495" t="s">
        <v>7</v>
      </c>
      <c r="T1" s="496"/>
      <c r="U1" s="497"/>
      <c r="V1" s="412" t="s">
        <v>10</v>
      </c>
      <c r="W1" s="493"/>
      <c r="X1" s="493"/>
      <c r="Y1" s="493"/>
      <c r="Z1" s="493"/>
      <c r="AA1" s="494"/>
      <c r="AB1" s="490" t="s">
        <v>14</v>
      </c>
      <c r="AC1" s="491"/>
      <c r="AD1" s="491"/>
      <c r="AE1" s="491"/>
      <c r="AF1" s="492"/>
    </row>
    <row r="2" spans="1:33" s="36" customFormat="1" ht="29.4" thickBot="1" x14ac:dyDescent="0.35">
      <c r="A2" s="81"/>
      <c r="B2" s="44" t="s">
        <v>3</v>
      </c>
      <c r="C2" s="34" t="s">
        <v>4</v>
      </c>
      <c r="D2" s="34" t="s">
        <v>200</v>
      </c>
      <c r="E2" s="34" t="s">
        <v>199</v>
      </c>
      <c r="F2" s="34" t="s">
        <v>6</v>
      </c>
      <c r="G2" s="34" t="s">
        <v>90</v>
      </c>
      <c r="H2" s="82" t="s">
        <v>116</v>
      </c>
      <c r="I2" s="83" t="s">
        <v>117</v>
      </c>
      <c r="J2" s="44" t="s">
        <v>20</v>
      </c>
      <c r="K2" s="34" t="s">
        <v>21</v>
      </c>
      <c r="L2" s="253" t="s">
        <v>86</v>
      </c>
      <c r="M2" s="93" t="s">
        <v>38</v>
      </c>
      <c r="N2" s="36" t="s">
        <v>208</v>
      </c>
      <c r="O2" s="94" t="s">
        <v>37</v>
      </c>
      <c r="P2" s="94" t="s">
        <v>85</v>
      </c>
      <c r="Q2" s="94" t="s">
        <v>118</v>
      </c>
      <c r="R2" s="95" t="s">
        <v>119</v>
      </c>
      <c r="S2" s="46" t="s">
        <v>8</v>
      </c>
      <c r="T2" s="23" t="s">
        <v>9</v>
      </c>
      <c r="U2" s="46" t="s">
        <v>87</v>
      </c>
      <c r="V2" s="4" t="s">
        <v>11</v>
      </c>
      <c r="W2" s="59" t="s">
        <v>44</v>
      </c>
      <c r="X2" s="5" t="s">
        <v>12</v>
      </c>
      <c r="Y2" s="5" t="s">
        <v>43</v>
      </c>
      <c r="Z2" s="68" t="s">
        <v>94</v>
      </c>
      <c r="AA2" s="96" t="s">
        <v>195</v>
      </c>
      <c r="AB2" s="45" t="s">
        <v>22</v>
      </c>
      <c r="AC2" s="97" t="s">
        <v>120</v>
      </c>
      <c r="AD2" s="9" t="s">
        <v>17</v>
      </c>
      <c r="AE2" s="11" t="s">
        <v>201</v>
      </c>
      <c r="AF2" s="13" t="s">
        <v>18</v>
      </c>
      <c r="AG2" s="35"/>
    </row>
    <row r="3" spans="1:33" s="219" customFormat="1" x14ac:dyDescent="0.3">
      <c r="A3" s="235" t="s">
        <v>23</v>
      </c>
      <c r="B3" s="202">
        <f>MAX('Január-December'!E3:E33)</f>
        <v>14.1</v>
      </c>
      <c r="C3" s="201">
        <f>IFERROR(MIN('Január-December'!F3:F33),"")</f>
        <v>-9.8000000000000007</v>
      </c>
      <c r="D3" s="201">
        <f>MAX('Január-December'!G3:G33)</f>
        <v>15.7</v>
      </c>
      <c r="E3" s="201">
        <f>MIN('Január-December'!G3:G33)</f>
        <v>0.6</v>
      </c>
      <c r="F3" s="201">
        <f>IFERROR(AVERAGE('Január-December'!H3:H33),"")</f>
        <v>1.5241935483870965</v>
      </c>
      <c r="G3" s="201">
        <f>IFERROR(AVERAGE('Január-December'!I3:I33),"")</f>
        <v>1.3049005592366096</v>
      </c>
      <c r="H3" s="201">
        <f>MAX('Január-December'!H3:H33)</f>
        <v>10.725000000000001</v>
      </c>
      <c r="I3" s="203">
        <f>MIN('Január-December'!H3:H33)</f>
        <v>-4.4749999999999996</v>
      </c>
      <c r="J3" s="202">
        <f>MAX('Január-December'!J3:J33)</f>
        <v>8.6999999999999993</v>
      </c>
      <c r="K3" s="201">
        <f>MIN('Január-December'!K3:K33)</f>
        <v>-10.199999999999999</v>
      </c>
      <c r="L3" s="203">
        <f>IFERROR(AVERAGE('Január-December'!L3:L33),"")</f>
        <v>0.49491074754498077</v>
      </c>
      <c r="M3" s="204">
        <f>MAX('Január-December'!M3:M33)</f>
        <v>100</v>
      </c>
      <c r="N3" s="205">
        <f>COUNTIF('Január-December'!M3:M33,"&gt;95")</f>
        <v>29</v>
      </c>
      <c r="O3" s="206">
        <f>MIN('Január-December'!N3:N33)</f>
        <v>60.5</v>
      </c>
      <c r="P3" s="206">
        <f>IFERROR(AVERAGE('Január-December'!O3:O33),"")</f>
        <v>94.769715096179453</v>
      </c>
      <c r="Q3" s="206">
        <f>MAX('Január-December'!O3:O33)</f>
        <v>100</v>
      </c>
      <c r="R3" s="207">
        <f>MIN('Január-December'!O3:O33)</f>
        <v>80.451841556636509</v>
      </c>
      <c r="S3" s="208">
        <f>MAX('Január-December'!P3:P33)</f>
        <v>1040.7937058315499</v>
      </c>
      <c r="T3" s="209">
        <f>MIN('Január-December'!Q3:Q33)</f>
        <v>1000.78554796887</v>
      </c>
      <c r="U3" s="210">
        <f>IFERROR(AVERAGE('Január-December'!R3:R33),"")</f>
        <v>1018.9602443617329</v>
      </c>
      <c r="V3" s="211">
        <f>MAX('Január-December'!S3:S33)</f>
        <v>13.600000010880001</v>
      </c>
      <c r="W3" s="212">
        <f>MAX('Január-December'!T3:T33)</f>
        <v>9.0333333405600005</v>
      </c>
      <c r="X3" s="212">
        <f>IFERROR(AVERAGE('Január-December'!U3:U33),"")</f>
        <v>1.8604729529884498</v>
      </c>
      <c r="Y3" s="212">
        <f>MAX('Január-December'!U3:U33)</f>
        <v>4.8054583067862557</v>
      </c>
      <c r="Z3" s="212">
        <f>MIN('Január-December'!U3:U33)</f>
        <v>0.39154252048704236</v>
      </c>
      <c r="AA3" s="237" t="s">
        <v>239</v>
      </c>
      <c r="AB3" s="213">
        <f>MAX('Január-December'!X3:X33)</f>
        <v>42</v>
      </c>
      <c r="AC3" s="214">
        <f>MAX('Január-December'!Y3:Y33)</f>
        <v>5.2</v>
      </c>
      <c r="AD3" s="215">
        <f>SUM('Január-December'!Y3:Y33)</f>
        <v>25.3</v>
      </c>
      <c r="AE3" s="216">
        <f>MAX('Január-December'!Z3:Z33)</f>
        <v>2.2000000000000002</v>
      </c>
      <c r="AF3" s="217">
        <f>MAX('Január-December'!AA3:AA33)</f>
        <v>2.5</v>
      </c>
      <c r="AG3" s="218"/>
    </row>
    <row r="4" spans="1:33" s="228" customFormat="1" x14ac:dyDescent="0.3">
      <c r="A4" s="236" t="s">
        <v>24</v>
      </c>
      <c r="B4" s="202">
        <f>MAX('Január-December'!E34:E61)</f>
        <v>9.6</v>
      </c>
      <c r="C4" s="201">
        <f>MIN('Január-December'!F34:F61)</f>
        <v>-13.8</v>
      </c>
      <c r="D4" s="201">
        <f>MAX('Január-December'!G34:G61)</f>
        <v>12.7</v>
      </c>
      <c r="E4" s="201">
        <f>MIN('Január-December'!G34:G61)</f>
        <v>0.6</v>
      </c>
      <c r="F4" s="201">
        <f>IFERROR(AVERAGE('Január-December'!H34:H61),"")</f>
        <v>1.0508928571428571</v>
      </c>
      <c r="G4" s="201">
        <f>IFERROR(AVERAGE('Január-December'!I34:I61),"")</f>
        <v>-1.4194220530532573</v>
      </c>
      <c r="H4" s="201">
        <f>MAX('Január-December'!H34:H61)</f>
        <v>10.725000000000001</v>
      </c>
      <c r="I4" s="203">
        <f>MIN('Január-December'!H34:H61)</f>
        <v>-4.4749999999999996</v>
      </c>
      <c r="J4" s="202">
        <f>MAX('Január-December'!J34:J61)</f>
        <v>7</v>
      </c>
      <c r="K4" s="201">
        <f>MIN('Január-December'!K34:K61)</f>
        <v>-15.4</v>
      </c>
      <c r="L4" s="203">
        <f>IFERROR(AVERAGE('Január-December'!L34:L61),"")</f>
        <v>-4.5969461721619425</v>
      </c>
      <c r="M4" s="204">
        <f>MAX('Január-December'!M34:M61)</f>
        <v>98.8</v>
      </c>
      <c r="N4" s="205">
        <f>COUNTIF('Január-December'!M34:M61,"&gt;95")</f>
        <v>15</v>
      </c>
      <c r="O4" s="206">
        <f>MIN('Január-December'!N34:N61)</f>
        <v>43.1</v>
      </c>
      <c r="P4" s="206">
        <f>IFERROR(AVERAGE('Január-December'!O34:O61),"")</f>
        <v>80.351511809046755</v>
      </c>
      <c r="Q4" s="206">
        <f>MAX('Január-December'!O34:O61)</f>
        <v>91.634166666666331</v>
      </c>
      <c r="R4" s="207">
        <f>MIN('Január-December'!O34:O61)</f>
        <v>66.699305555555654</v>
      </c>
      <c r="S4" s="208">
        <f>MAX('Január-December'!P34:P61)</f>
        <v>1038.16880746211</v>
      </c>
      <c r="T4" s="209">
        <f>MIN('Január-December'!Q34:Q61)</f>
        <v>1014.10570821752</v>
      </c>
      <c r="U4" s="210">
        <f>IFERROR(AVERAGE('Január-December'!R34:R61),"")</f>
        <v>1027.5782466113822</v>
      </c>
      <c r="V4" s="220">
        <f>MAX('Január-December'!S34:S61)</f>
        <v>9.2000000073599999</v>
      </c>
      <c r="W4" s="221">
        <f>MAX('Január-December'!T34:T61)</f>
        <v>5.6200000044959992</v>
      </c>
      <c r="X4" s="221">
        <f>IFERROR(AVERAGE('Január-December'!U34:U61),"")</f>
        <v>0.83753377256703831</v>
      </c>
      <c r="Y4" s="221">
        <f>MAX('Január-December'!U34:U61)</f>
        <v>2.2944666020349676</v>
      </c>
      <c r="Z4" s="221">
        <f>MIN('Január-December'!U34:U61)</f>
        <v>0.17720445750610561</v>
      </c>
      <c r="AA4" s="238" t="s">
        <v>241</v>
      </c>
      <c r="AB4" s="222">
        <f>MAX('Január-December'!X34:X61)</f>
        <v>12</v>
      </c>
      <c r="AC4" s="223">
        <f>MAX('Január-December'!Y34:Y61)</f>
        <v>7.7</v>
      </c>
      <c r="AD4" s="224">
        <f>SUM('Január-December'!Y34:Y61)</f>
        <v>17.299999999999997</v>
      </c>
      <c r="AE4" s="225">
        <f>MAX('Január-December'!Z34:Z61)</f>
        <v>3</v>
      </c>
      <c r="AF4" s="226">
        <f>MAX('Január-December'!AA34:AA61)</f>
        <v>5</v>
      </c>
      <c r="AG4" s="227"/>
    </row>
    <row r="5" spans="1:33" s="228" customFormat="1" x14ac:dyDescent="0.3">
      <c r="A5" s="236" t="s">
        <v>25</v>
      </c>
      <c r="B5" s="202">
        <f>MAX('Január-December'!E62:E92)</f>
        <v>21.3</v>
      </c>
      <c r="C5" s="201">
        <f>MIN('Január-December'!F62:F92)</f>
        <v>-8.5</v>
      </c>
      <c r="D5" s="201">
        <f>MAX('Január-December'!G62:G92)</f>
        <v>25.1</v>
      </c>
      <c r="E5" s="201">
        <f>MIN('Január-December'!G62:G92)</f>
        <v>3.3999999999999995</v>
      </c>
      <c r="F5" s="201">
        <f>IFERROR(AVERAGE('Január-December'!H62:H92),"")</f>
        <v>6.001612903225805</v>
      </c>
      <c r="G5" s="201">
        <f>IFERROR(AVERAGE('Január-December'!I62:I92),"")</f>
        <v>5.9529847495589499</v>
      </c>
      <c r="H5" s="201">
        <f>MAX('Január-December'!H62:H92)</f>
        <v>11.95</v>
      </c>
      <c r="I5" s="203">
        <f>MIN('Január-December'!H62:H92)</f>
        <v>-1.6749999999999998</v>
      </c>
      <c r="J5" s="202">
        <f>MAX('Január-December'!J62:J92)</f>
        <v>11.2</v>
      </c>
      <c r="K5" s="201">
        <f>MIN('Január-December'!K62:K92)</f>
        <v>-10.9</v>
      </c>
      <c r="L5" s="203">
        <f>IFERROR(AVERAGE('Január-December'!L62:L92),"")</f>
        <v>2.0763242766851175</v>
      </c>
      <c r="M5" s="204">
        <f>MAX('Január-December'!M62:M92)</f>
        <v>99.4</v>
      </c>
      <c r="N5" s="205">
        <f>COUNTIF('Január-December'!M62:M92,"&gt;95")</f>
        <v>16</v>
      </c>
      <c r="O5" s="206">
        <f>MIN('Január-December'!N62:N92)</f>
        <v>32.9</v>
      </c>
      <c r="P5" s="206">
        <f>IFERROR(AVERAGE('Január-December'!O62:O92),"")</f>
        <v>78.511054384631223</v>
      </c>
      <c r="Q5" s="206">
        <f>MAX('Január-December'!O62:O92)</f>
        <v>95.139054899235319</v>
      </c>
      <c r="R5" s="207">
        <f>MIN('Január-December'!O62:O92)</f>
        <v>62.941417651146594</v>
      </c>
      <c r="S5" s="208">
        <f>MAX('Január-December'!P62:P92)</f>
        <v>1033.2499253608</v>
      </c>
      <c r="T5" s="209">
        <f>MIN('Január-December'!Q62:Q92)</f>
        <v>989.46731202017497</v>
      </c>
      <c r="U5" s="210">
        <f>IFERROR(AVERAGE('Január-December'!R62:R92),"")</f>
        <v>1016.160571971934</v>
      </c>
      <c r="V5" s="220">
        <f>MAX('Január-December'!S62:S92)</f>
        <v>13.900000011119999</v>
      </c>
      <c r="W5" s="221">
        <f>MAX('Január-December'!T62:T92)</f>
        <v>8.7866666736960006</v>
      </c>
      <c r="X5" s="221">
        <f>IFERROR(AVERAGE('Január-December'!U62:U92),"")</f>
        <v>1.4617074146717119</v>
      </c>
      <c r="Y5" s="221">
        <f>MAX('Január-December'!U62:U92)</f>
        <v>3.4669533809834889</v>
      </c>
      <c r="Z5" s="221">
        <f>MIN('Január-December'!U62:U92)</f>
        <v>0.59628688968844179</v>
      </c>
      <c r="AA5" s="238" t="s">
        <v>241</v>
      </c>
      <c r="AB5" s="222">
        <f>MAX('Január-December'!X62:X92)</f>
        <v>48</v>
      </c>
      <c r="AC5" s="223">
        <f>MAX('Január-December'!Y62:Y92)</f>
        <v>13</v>
      </c>
      <c r="AD5" s="224">
        <f>SUM('Január-December'!Y62:Y92)</f>
        <v>43.599999999999987</v>
      </c>
      <c r="AE5" s="225">
        <f>MAX('Január-December'!Z62:Z92)</f>
        <v>0</v>
      </c>
      <c r="AF5" s="226">
        <f>MAX('Január-December'!AA62:AA92)</f>
        <v>0</v>
      </c>
      <c r="AG5" s="227"/>
    </row>
    <row r="6" spans="1:33" s="228" customFormat="1" ht="13.8" customHeight="1" x14ac:dyDescent="0.3">
      <c r="A6" s="236" t="s">
        <v>26</v>
      </c>
      <c r="B6" s="202">
        <f>MAX('Január-December'!E93:E122)</f>
        <v>27.5</v>
      </c>
      <c r="C6" s="201">
        <f>MIN('Január-December'!F93:F122)</f>
        <v>-5.4</v>
      </c>
      <c r="D6" s="201">
        <f>MAX('Január-December'!G93:G122)</f>
        <v>24.5</v>
      </c>
      <c r="E6" s="201">
        <f>MIN('Január-December'!G93:G122)</f>
        <v>3.3000000000000007</v>
      </c>
      <c r="F6" s="201">
        <f>IFERROR(AVERAGE('Január-December'!H93:H122),"")</f>
        <v>10.635833333333331</v>
      </c>
      <c r="G6" s="201">
        <f>IFERROR(AVERAGE('Január-December'!I93:I122),"")</f>
        <v>10.724810139509238</v>
      </c>
      <c r="H6" s="201">
        <f>MAX('Január-December'!H93:H122)</f>
        <v>17.7</v>
      </c>
      <c r="I6" s="203">
        <f>MIN('Január-December'!H93:H122)</f>
        <v>-0.125</v>
      </c>
      <c r="J6" s="202">
        <f>MAX('Január-December'!J93:J122)</f>
        <v>18</v>
      </c>
      <c r="K6" s="201">
        <f>MIN('Január-December'!K93:K122)</f>
        <v>-8</v>
      </c>
      <c r="L6" s="203">
        <f>IFERROR(AVERAGE('Január-December'!L93:L122),"")</f>
        <v>5.8060215562414212</v>
      </c>
      <c r="M6" s="204">
        <f>MAX('Január-December'!M93:M122)</f>
        <v>97.7</v>
      </c>
      <c r="N6" s="205">
        <f>COUNTIF('Január-December'!M93:M122,"&gt;95")</f>
        <v>12</v>
      </c>
      <c r="O6" s="206">
        <f>MIN('Január-December'!N93:N122)</f>
        <v>32.9</v>
      </c>
      <c r="P6" s="206">
        <f>IFERROR(AVERAGE('Január-December'!O93:O122),"")</f>
        <v>73.843822459533257</v>
      </c>
      <c r="Q6" s="206">
        <f>MAX('Január-December'!O93:O122)</f>
        <v>89.120152883947227</v>
      </c>
      <c r="R6" s="207">
        <f>MIN('Január-December'!O93:O122)</f>
        <v>57.189374999999899</v>
      </c>
      <c r="S6" s="208">
        <f>MAX('Január-December'!P93:P122)</f>
        <v>1029.11348794898</v>
      </c>
      <c r="T6" s="209">
        <f>MIN('Január-December'!Q93:Q122)</f>
        <v>1003.75894159746</v>
      </c>
      <c r="U6" s="210">
        <f>IFERROR(AVERAGE('Január-December'!R93:R122),"")</f>
        <v>1015.5350291110987</v>
      </c>
      <c r="V6" s="220">
        <f>MAX('Január-December'!S93:S122)</f>
        <v>15.30000001224</v>
      </c>
      <c r="W6" s="221">
        <f>MAX('Január-December'!T93:T122)</f>
        <v>8.3000000066400013</v>
      </c>
      <c r="X6" s="221">
        <f>IFERROR(AVERAGE('Január-December'!U93:U122),"")</f>
        <v>1.85165566324595</v>
      </c>
      <c r="Y6" s="221">
        <f>MAX('Január-December'!U93:U122)</f>
        <v>3.3833091639345931</v>
      </c>
      <c r="Z6" s="221">
        <f>MIN('Január-December'!U93:U122)</f>
        <v>0.9898766335930641</v>
      </c>
      <c r="AA6" s="238" t="s">
        <v>241</v>
      </c>
      <c r="AB6" s="222">
        <f>MAX('Január-December'!X93:X122)</f>
        <v>156</v>
      </c>
      <c r="AC6" s="223">
        <f>MAX('Január-December'!Y93:Y122)</f>
        <v>25</v>
      </c>
      <c r="AD6" s="224">
        <f>SUM('Január-December'!Y93:Y122)</f>
        <v>73.099999999999994</v>
      </c>
      <c r="AE6" s="225">
        <f>MAX('Január-December'!Z93:Z122)</f>
        <v>1</v>
      </c>
      <c r="AF6" s="226">
        <f>MAX('Január-December'!AA93:AA122)</f>
        <v>1</v>
      </c>
      <c r="AG6" s="227"/>
    </row>
    <row r="7" spans="1:33" s="228" customFormat="1" x14ac:dyDescent="0.3">
      <c r="A7" s="236" t="s">
        <v>27</v>
      </c>
      <c r="B7" s="202">
        <f>MAX('Január-December'!E123:E153)</f>
        <v>0</v>
      </c>
      <c r="C7" s="201">
        <f>MIN('Január-December'!F123:F153)</f>
        <v>0</v>
      </c>
      <c r="D7" s="201">
        <f>MAX('Január-December'!G123:G153)</f>
        <v>0</v>
      </c>
      <c r="E7" s="201">
        <f>MIN('Január-December'!G123:G153)</f>
        <v>0</v>
      </c>
      <c r="F7" s="201" t="str">
        <f>IFERROR(AVERAGE('Január-December'!H123:H153),"")</f>
        <v/>
      </c>
      <c r="G7" s="201" t="str">
        <f>IFERROR(AVERAGE('Január-December'!I123:I153),"")</f>
        <v/>
      </c>
      <c r="H7" s="201">
        <f>MAX('Január-December'!H123:H153)</f>
        <v>0</v>
      </c>
      <c r="I7" s="203">
        <f>MIN('Január-December'!H123:H153)</f>
        <v>0</v>
      </c>
      <c r="J7" s="202">
        <f>MAX('Január-December'!J123:J153)</f>
        <v>0</v>
      </c>
      <c r="K7" s="201">
        <f>MIN('Január-December'!K123:K153)</f>
        <v>0</v>
      </c>
      <c r="L7" s="203" t="str">
        <f>IFERROR(AVERAGE('Január-December'!L123:L153),"")</f>
        <v/>
      </c>
      <c r="M7" s="204">
        <f>MAX('Január-December'!M123:M153)</f>
        <v>0</v>
      </c>
      <c r="N7" s="205">
        <f>COUNTIF('Január-December'!M123:M153,"&gt;95")</f>
        <v>0</v>
      </c>
      <c r="O7" s="206">
        <f>MIN('Január-December'!N123:N153)</f>
        <v>0</v>
      </c>
      <c r="P7" s="206" t="str">
        <f>IFERROR(AVERAGE('Január-December'!O123:O153),"")</f>
        <v/>
      </c>
      <c r="Q7" s="206">
        <f>MAX('Január-December'!O123:O153)</f>
        <v>0</v>
      </c>
      <c r="R7" s="207">
        <f>MIN('Január-December'!O123:O153)</f>
        <v>0</v>
      </c>
      <c r="S7" s="208">
        <f>MAX('Január-December'!P123:P153)</f>
        <v>0</v>
      </c>
      <c r="T7" s="209">
        <f>MIN('Január-December'!Q123:Q153)</f>
        <v>0</v>
      </c>
      <c r="U7" s="210" t="str">
        <f>IFERROR(AVERAGE('Január-December'!R123:R153),"")</f>
        <v/>
      </c>
      <c r="V7" s="220">
        <f>MAX('Január-December'!S123:S153)</f>
        <v>0</v>
      </c>
      <c r="W7" s="221">
        <f>MAX('Január-December'!T123:T153)</f>
        <v>0</v>
      </c>
      <c r="X7" s="221" t="str">
        <f>IFERROR(AVERAGE('Január-December'!U123:U153),"")</f>
        <v/>
      </c>
      <c r="Y7" s="221">
        <f>MAX('Január-December'!U123:U153)</f>
        <v>0</v>
      </c>
      <c r="Z7" s="221">
        <f>MIN('Január-December'!U123:U153)</f>
        <v>0</v>
      </c>
      <c r="AA7" s="238"/>
      <c r="AB7" s="222">
        <f>MAX('Január-December'!X123:X153)</f>
        <v>0</v>
      </c>
      <c r="AC7" s="223">
        <f>MAX('Január-December'!Y123:Y153)</f>
        <v>0</v>
      </c>
      <c r="AD7" s="224">
        <f>SUM('Január-December'!Y123:Y153)</f>
        <v>0</v>
      </c>
      <c r="AE7" s="225">
        <f>MAX('Január-December'!Z123:Z153)</f>
        <v>0</v>
      </c>
      <c r="AF7" s="226">
        <f>MAX('Január-December'!AA123:AA153)</f>
        <v>0</v>
      </c>
      <c r="AG7" s="227"/>
    </row>
    <row r="8" spans="1:33" s="228" customFormat="1" x14ac:dyDescent="0.3">
      <c r="A8" s="236" t="s">
        <v>28</v>
      </c>
      <c r="B8" s="229">
        <f>MAX('Január-December'!E154:E183)</f>
        <v>0</v>
      </c>
      <c r="C8" s="201">
        <f>MIN('Január-December'!F154:F183)</f>
        <v>0</v>
      </c>
      <c r="D8" s="201">
        <f>MAX('Január-December'!G154:G183)</f>
        <v>0</v>
      </c>
      <c r="E8" s="201">
        <f>MIN('Január-December'!G154:G183)</f>
        <v>0</v>
      </c>
      <c r="F8" s="201" t="str">
        <f>IFERROR(AVERAGE('Január-December'!H154:H183),"")</f>
        <v/>
      </c>
      <c r="G8" s="201" t="str">
        <f>IFERROR(AVERAGE('Január-December'!I154:I183),"")</f>
        <v/>
      </c>
      <c r="H8" s="201">
        <f>MAX('Január-December'!H154:H183)</f>
        <v>0</v>
      </c>
      <c r="I8" s="230">
        <f>MIN('Január-December'!H154:H183)</f>
        <v>0</v>
      </c>
      <c r="J8" s="202">
        <f>MAX('Január-December'!J154:J183)</f>
        <v>0</v>
      </c>
      <c r="K8" s="201">
        <f>MIN('Január-December'!K154:K183)</f>
        <v>0</v>
      </c>
      <c r="L8" s="203" t="str">
        <f>IFERROR(AVERAGE('Január-December'!L154:L183),"")</f>
        <v/>
      </c>
      <c r="M8" s="204">
        <f>MAX('Január-December'!M154:M183)</f>
        <v>0</v>
      </c>
      <c r="N8" s="205">
        <f>COUNTIF('Január-December'!M154:M183,"&gt;95")</f>
        <v>0</v>
      </c>
      <c r="O8" s="206">
        <f>MIN('Január-December'!N154:N183)</f>
        <v>0</v>
      </c>
      <c r="P8" s="206" t="str">
        <f>IFERROR(AVERAGE('Január-December'!O154:O183),"")</f>
        <v/>
      </c>
      <c r="Q8" s="206">
        <f>MAX('Január-December'!O154:O183)</f>
        <v>0</v>
      </c>
      <c r="R8" s="207">
        <f>MIN('Január-December'!O154:O183)</f>
        <v>0</v>
      </c>
      <c r="S8" s="231">
        <f>MAX('Január-December'!P154:P183)</f>
        <v>0</v>
      </c>
      <c r="T8" s="209">
        <f>MIN('Január-December'!Q154:Q183)</f>
        <v>0</v>
      </c>
      <c r="U8" s="232" t="str">
        <f>IFERROR(AVERAGE('Január-December'!R154:R183),"")</f>
        <v/>
      </c>
      <c r="V8" s="220">
        <f>MAX('Január-December'!S154:S183)</f>
        <v>0</v>
      </c>
      <c r="W8" s="221">
        <f>MAX('Január-December'!T154:T183)</f>
        <v>0</v>
      </c>
      <c r="X8" s="221" t="str">
        <f>IFERROR(AVERAGE('Január-December'!U154:U183),"")</f>
        <v/>
      </c>
      <c r="Y8" s="221">
        <f>MAX('Január-December'!U154:U183)</f>
        <v>0</v>
      </c>
      <c r="Z8" s="221">
        <f>MIN('Január-December'!U154:U183)</f>
        <v>0</v>
      </c>
      <c r="AA8" s="238"/>
      <c r="AB8" s="222">
        <f>MAX('Január-December'!X154:X183)</f>
        <v>0</v>
      </c>
      <c r="AC8" s="223">
        <f>MAX('Január-December'!Y154:Y183)</f>
        <v>0</v>
      </c>
      <c r="AD8" s="224">
        <f>SUM('Január-December'!Y154:Y183)</f>
        <v>0</v>
      </c>
      <c r="AE8" s="225">
        <f>MAX('Január-December'!Z154:Z183)</f>
        <v>0</v>
      </c>
      <c r="AF8" s="226">
        <f>MAX('Január-December'!AA154:AA183)</f>
        <v>0</v>
      </c>
      <c r="AG8" s="227"/>
    </row>
    <row r="9" spans="1:33" s="228" customFormat="1" x14ac:dyDescent="0.3">
      <c r="A9" s="236" t="s">
        <v>29</v>
      </c>
      <c r="B9" s="229">
        <f>MAX('Január-December'!E184:E214)</f>
        <v>0</v>
      </c>
      <c r="C9" s="201">
        <f>MIN('Január-December'!F184:F214)</f>
        <v>0</v>
      </c>
      <c r="D9" s="201">
        <f>MAX('Január-December'!G184:G214)</f>
        <v>0</v>
      </c>
      <c r="E9" s="201">
        <f>MIN('Január-December'!G184:G214)</f>
        <v>0</v>
      </c>
      <c r="F9" s="201" t="str">
        <f>IFERROR(AVERAGE('Január-December'!H184:H214),"")</f>
        <v/>
      </c>
      <c r="G9" s="201" t="str">
        <f>IFERROR(AVERAGE('Január-December'!I184:I214),"")</f>
        <v/>
      </c>
      <c r="H9" s="201">
        <f>MAX('Január-December'!H184:H214)</f>
        <v>0</v>
      </c>
      <c r="I9" s="230">
        <f>MIN('Január-December'!H184:H214)</f>
        <v>0</v>
      </c>
      <c r="J9" s="202">
        <f>MAX('Január-December'!J184:J214)</f>
        <v>0</v>
      </c>
      <c r="K9" s="201">
        <f>MIN('Január-December'!K184:K214)</f>
        <v>0</v>
      </c>
      <c r="L9" s="203" t="str">
        <f>IFERROR(AVERAGE('Január-December'!L184:L214),"")</f>
        <v/>
      </c>
      <c r="M9" s="204">
        <f>MAX('Január-December'!M184:M214)</f>
        <v>0</v>
      </c>
      <c r="N9" s="205">
        <f>COUNTIF('Január-December'!M184:M214,"&gt;95")</f>
        <v>0</v>
      </c>
      <c r="O9" s="206">
        <f>MIN('Január-December'!N184:N214)</f>
        <v>0</v>
      </c>
      <c r="P9" s="206" t="str">
        <f>IFERROR(AVERAGE('Január-December'!O184:O214),"")</f>
        <v/>
      </c>
      <c r="Q9" s="206">
        <f>MAX('Január-December'!O184:O214)</f>
        <v>0</v>
      </c>
      <c r="R9" s="207">
        <f>MIN('Január-December'!O184:O214)</f>
        <v>0</v>
      </c>
      <c r="S9" s="231">
        <f>MAX('Január-December'!P184:P214)</f>
        <v>0</v>
      </c>
      <c r="T9" s="209">
        <f>MIN('Január-December'!Q184:Q214)</f>
        <v>0</v>
      </c>
      <c r="U9" s="232" t="str">
        <f>IFERROR(AVERAGE('Január-December'!R184:R214),"")</f>
        <v/>
      </c>
      <c r="V9" s="220">
        <f>MAX('Január-December'!S184:S214)</f>
        <v>0</v>
      </c>
      <c r="W9" s="221">
        <f>MAX('Január-December'!T184:T214)</f>
        <v>0</v>
      </c>
      <c r="X9" s="221" t="str">
        <f>IFERROR(AVERAGE('Január-December'!U184:U214),"")</f>
        <v/>
      </c>
      <c r="Y9" s="221">
        <f>MAX('Január-December'!U184:U214)</f>
        <v>0</v>
      </c>
      <c r="Z9" s="221">
        <f>MIN('Január-December'!U184:U214)</f>
        <v>0</v>
      </c>
      <c r="AA9" s="238"/>
      <c r="AB9" s="222">
        <f>MAX('Január-December'!X184:X214)</f>
        <v>0</v>
      </c>
      <c r="AC9" s="223">
        <f>MAX('Január-December'!Y184:Y214)</f>
        <v>0</v>
      </c>
      <c r="AD9" s="224">
        <f>SUM('Január-December'!Y184:Y214)</f>
        <v>0</v>
      </c>
      <c r="AE9" s="225">
        <f>MAX('Január-December'!Z184:Z214)</f>
        <v>0</v>
      </c>
      <c r="AF9" s="226">
        <f>MAX('Január-December'!AA184:AA214)</f>
        <v>0</v>
      </c>
      <c r="AG9" s="227"/>
    </row>
    <row r="10" spans="1:33" s="228" customFormat="1" x14ac:dyDescent="0.3">
      <c r="A10" s="236" t="s">
        <v>30</v>
      </c>
      <c r="B10" s="229">
        <f>MAX('Január-December'!E215:E245)</f>
        <v>0</v>
      </c>
      <c r="C10" s="201">
        <f>MIN('Január-December'!F215:F245)</f>
        <v>0</v>
      </c>
      <c r="D10" s="201">
        <f>MAX('Január-December'!G215:G245)</f>
        <v>0</v>
      </c>
      <c r="E10" s="201">
        <f>MIN('Január-December'!G215:G245)</f>
        <v>0</v>
      </c>
      <c r="F10" s="201" t="str">
        <f>IFERROR(AVERAGE('Január-December'!H215:H245),"")</f>
        <v/>
      </c>
      <c r="G10" s="201" t="str">
        <f>IFERROR(AVERAGE('Január-December'!I215:I245),"")</f>
        <v/>
      </c>
      <c r="H10" s="201">
        <f>MAX('Január-December'!H215:H245)</f>
        <v>0</v>
      </c>
      <c r="I10" s="230">
        <f>MIN('Január-December'!H215:H245)</f>
        <v>0</v>
      </c>
      <c r="J10" s="202">
        <f>MAX('Január-December'!J215:J245)</f>
        <v>0</v>
      </c>
      <c r="K10" s="201">
        <f>MIN('Január-December'!K215:K245)</f>
        <v>0</v>
      </c>
      <c r="L10" s="203" t="str">
        <f>IFERROR(AVERAGE('Január-December'!L215:L245),"")</f>
        <v/>
      </c>
      <c r="M10" s="204">
        <f>MAX('Január-December'!M215:M245)</f>
        <v>0</v>
      </c>
      <c r="N10" s="205">
        <f>COUNTIF('Január-December'!M215:M245,"&gt;95")</f>
        <v>0</v>
      </c>
      <c r="O10" s="206">
        <f>MIN('Január-December'!N215:N245)</f>
        <v>0</v>
      </c>
      <c r="P10" s="206" t="str">
        <f>IFERROR(AVERAGE('Január-December'!O215:O245),"")</f>
        <v/>
      </c>
      <c r="Q10" s="206">
        <f>MAX('Január-December'!O215:O245)</f>
        <v>0</v>
      </c>
      <c r="R10" s="207">
        <f>MIN('Január-December'!O215:O245)</f>
        <v>0</v>
      </c>
      <c r="S10" s="231">
        <f>MAX('Január-December'!P215:P245)</f>
        <v>0</v>
      </c>
      <c r="T10" s="209">
        <f>MIN('Január-December'!Q215:Q245)</f>
        <v>0</v>
      </c>
      <c r="U10" s="232" t="str">
        <f>IFERROR(AVERAGE('Január-December'!R215:R245),"")</f>
        <v/>
      </c>
      <c r="V10" s="220">
        <f>MAX('Január-December'!S215:S245)</f>
        <v>0</v>
      </c>
      <c r="W10" s="221">
        <f>MAX('Január-December'!T215:T245)</f>
        <v>0</v>
      </c>
      <c r="X10" s="221" t="str">
        <f>IFERROR(AVERAGE('Január-December'!U215:U245),"")</f>
        <v/>
      </c>
      <c r="Y10" s="221">
        <f>MAX('Január-December'!U215:U245)</f>
        <v>0</v>
      </c>
      <c r="Z10" s="221">
        <f>MIN('Január-December'!U215:U245)</f>
        <v>0</v>
      </c>
      <c r="AA10" s="238"/>
      <c r="AB10" s="222">
        <f>MAX('Január-December'!X215:X245)</f>
        <v>0</v>
      </c>
      <c r="AC10" s="223">
        <f>MAX('Január-December'!Y215:Y245)</f>
        <v>0</v>
      </c>
      <c r="AD10" s="224">
        <f>SUM('Január-December'!Y215:Y245)</f>
        <v>0</v>
      </c>
      <c r="AE10" s="225">
        <f>MAX('Január-December'!Z215:Z245)</f>
        <v>0</v>
      </c>
      <c r="AF10" s="226">
        <f>MAX('Január-December'!AA215:AA245)</f>
        <v>0</v>
      </c>
      <c r="AG10" s="227"/>
    </row>
    <row r="11" spans="1:33" s="228" customFormat="1" x14ac:dyDescent="0.3">
      <c r="A11" s="236" t="s">
        <v>31</v>
      </c>
      <c r="B11" s="229">
        <f>MAX('Január-December'!E246:E275)</f>
        <v>0</v>
      </c>
      <c r="C11" s="201">
        <f>MIN('Január-December'!F246:F275)</f>
        <v>0</v>
      </c>
      <c r="D11" s="201">
        <f>MAX('Január-December'!G246:G275)</f>
        <v>0</v>
      </c>
      <c r="E11" s="201">
        <f>MIN('Január-December'!G246:G275)</f>
        <v>0</v>
      </c>
      <c r="F11" s="201" t="str">
        <f>IFERROR(AVERAGE('Január-December'!H246:H275),"")</f>
        <v/>
      </c>
      <c r="G11" s="201" t="str">
        <f>IFERROR(AVERAGE('Január-December'!I246:I275),"")</f>
        <v/>
      </c>
      <c r="H11" s="201">
        <f>MAX('Január-December'!H246:H275)</f>
        <v>0</v>
      </c>
      <c r="I11" s="233">
        <f>MIN('Január-December'!H246:H275)</f>
        <v>0</v>
      </c>
      <c r="J11" s="202">
        <f>MAX('Január-December'!J246:J275)</f>
        <v>0</v>
      </c>
      <c r="K11" s="201">
        <f>MIN('Január-December'!K246:K275)</f>
        <v>0</v>
      </c>
      <c r="L11" s="203" t="str">
        <f>IFERROR(AVERAGE('Január-December'!L246:L275),"")</f>
        <v/>
      </c>
      <c r="M11" s="204">
        <f>MAX('Január-December'!M246:M275)</f>
        <v>0</v>
      </c>
      <c r="N11" s="205">
        <f>COUNTIF('Január-December'!M246:M275,"&gt;95")</f>
        <v>0</v>
      </c>
      <c r="O11" s="206">
        <f>MIN('Január-December'!N246:N275)</f>
        <v>0</v>
      </c>
      <c r="P11" s="206" t="str">
        <f>IFERROR(AVERAGE('Január-December'!O246:O275),"")</f>
        <v/>
      </c>
      <c r="Q11" s="206">
        <f>MAX('Január-December'!O246:O275)</f>
        <v>0</v>
      </c>
      <c r="R11" s="206">
        <f>MIN('Január-December'!O246:O275)</f>
        <v>0</v>
      </c>
      <c r="S11" s="231">
        <f>MAX('Január-December'!P246:P275)</f>
        <v>0</v>
      </c>
      <c r="T11" s="209">
        <f>MIN('Január-December'!Q246:Q275)</f>
        <v>0</v>
      </c>
      <c r="U11" s="232" t="str">
        <f>IFERROR(AVERAGE('Január-December'!R246:R275),"")</f>
        <v/>
      </c>
      <c r="V11" s="220">
        <f>MAX('Január-December'!S246:S275)</f>
        <v>0</v>
      </c>
      <c r="W11" s="234">
        <f>MAX('Január-December'!T246:T275)</f>
        <v>0</v>
      </c>
      <c r="X11" s="234" t="str">
        <f>IFERROR(AVERAGE('Január-December'!U246:U275),"")</f>
        <v/>
      </c>
      <c r="Y11" s="234">
        <f>MAX('Január-December'!U246:U275)</f>
        <v>0</v>
      </c>
      <c r="Z11" s="234">
        <f>MIN('Január-December'!U246:U275)</f>
        <v>0</v>
      </c>
      <c r="AA11" s="238"/>
      <c r="AB11" s="222">
        <f>MAX('Január-December'!X246:X275)</f>
        <v>0</v>
      </c>
      <c r="AC11" s="223">
        <f>MAX('Január-December'!Y246:Y275)</f>
        <v>0</v>
      </c>
      <c r="AD11" s="224">
        <f>SUM('Január-December'!Y246:Y275)</f>
        <v>0</v>
      </c>
      <c r="AE11" s="225">
        <f>MAX('Január-December'!Z246:Z275)</f>
        <v>0</v>
      </c>
      <c r="AF11" s="226">
        <f>MAX('Január-December'!AA276:AA306)</f>
        <v>0</v>
      </c>
      <c r="AG11" s="227"/>
    </row>
    <row r="12" spans="1:33" s="228" customFormat="1" x14ac:dyDescent="0.3">
      <c r="A12" s="236" t="s">
        <v>32</v>
      </c>
      <c r="B12" s="229">
        <f>MAX('Január-December'!E276:E306)</f>
        <v>0</v>
      </c>
      <c r="C12" s="201">
        <f>MIN('Január-December'!F276:F306)</f>
        <v>0</v>
      </c>
      <c r="D12" s="201">
        <f>MAX('Január-December'!G276:G306)</f>
        <v>0</v>
      </c>
      <c r="E12" s="201">
        <f>MIN('Január-December'!G276:G306)</f>
        <v>0</v>
      </c>
      <c r="F12" s="201" t="str">
        <f>IFERROR(AVERAGE('Január-December'!H276:H306),"")</f>
        <v/>
      </c>
      <c r="G12" s="201" t="str">
        <f>IFERROR(AVERAGE('Január-December'!I276:I306),"")</f>
        <v/>
      </c>
      <c r="H12" s="201">
        <f>MAX('Január-December'!H276:H306)</f>
        <v>0</v>
      </c>
      <c r="I12" s="233">
        <f>MIN('Január-December'!H276:H306)</f>
        <v>0</v>
      </c>
      <c r="J12" s="202">
        <f>MAX('Január-December'!J276:J306)</f>
        <v>0</v>
      </c>
      <c r="K12" s="201">
        <f>MIN('Január-December'!K276:K306)</f>
        <v>0</v>
      </c>
      <c r="L12" s="203" t="str">
        <f>IFERROR(AVERAGE('Január-December'!L276:L306),"")</f>
        <v/>
      </c>
      <c r="M12" s="204">
        <f>MAX('Január-December'!M276:M306)</f>
        <v>0</v>
      </c>
      <c r="N12" s="205">
        <f>COUNTIF('Január-December'!M276:M306,"&gt;95")</f>
        <v>0</v>
      </c>
      <c r="O12" s="206">
        <f>MIN('Január-December'!N276:N306)</f>
        <v>0</v>
      </c>
      <c r="P12" s="206" t="str">
        <f>IFERROR(AVERAGE('Január-December'!O276:O306),"")</f>
        <v/>
      </c>
      <c r="Q12" s="206">
        <f>MAX('Január-December'!O276:O306)</f>
        <v>0</v>
      </c>
      <c r="R12" s="206">
        <f>MIN('Január-December'!O276:O306)</f>
        <v>0</v>
      </c>
      <c r="S12" s="231">
        <f>MAX('Január-December'!P276:P306)</f>
        <v>0</v>
      </c>
      <c r="T12" s="209">
        <f>MIN('Január-December'!Q276:Q306)</f>
        <v>0</v>
      </c>
      <c r="U12" s="232" t="str">
        <f>IFERROR(AVERAGE('Január-December'!R276:R306),"")</f>
        <v/>
      </c>
      <c r="V12" s="220">
        <f>MAX('Január-December'!S276:S306)</f>
        <v>0</v>
      </c>
      <c r="W12" s="234">
        <f>MAX('Január-December'!T276:T306)</f>
        <v>0</v>
      </c>
      <c r="X12" s="234" t="str">
        <f>IFERROR(AVERAGE('Január-December'!U276:U306),"")</f>
        <v/>
      </c>
      <c r="Y12" s="234">
        <f>MAX('Január-December'!U276:U306)</f>
        <v>0</v>
      </c>
      <c r="Z12" s="234">
        <f>MIN('Január-December'!U276:U306)</f>
        <v>0</v>
      </c>
      <c r="AA12" s="238"/>
      <c r="AB12" s="222">
        <f>MAX('Január-December'!X276:X306)</f>
        <v>0</v>
      </c>
      <c r="AC12" s="223">
        <f>MAX('Január-December'!Y276:Y306)</f>
        <v>0</v>
      </c>
      <c r="AD12" s="224">
        <f>SUM('Január-December'!Y276:Y306)</f>
        <v>0</v>
      </c>
      <c r="AE12" s="225">
        <f>MAX('Január-December'!Z276:Z306)</f>
        <v>0</v>
      </c>
      <c r="AF12" s="226">
        <f>MAX('Január-December'!AA276:AA306)</f>
        <v>0</v>
      </c>
      <c r="AG12" s="227"/>
    </row>
    <row r="13" spans="1:33" s="228" customFormat="1" ht="14.4" customHeight="1" x14ac:dyDescent="0.3">
      <c r="A13" s="236" t="s">
        <v>33</v>
      </c>
      <c r="B13" s="229">
        <f>MAX('Január-December'!E307:E336)</f>
        <v>0</v>
      </c>
      <c r="C13" s="201">
        <f>MIN('Január-December'!F307:F336)</f>
        <v>0</v>
      </c>
      <c r="D13" s="201">
        <f>MAX('Január-December'!G307:G336)</f>
        <v>0</v>
      </c>
      <c r="E13" s="201">
        <f>MIN('Január-December'!G307:G336)</f>
        <v>0</v>
      </c>
      <c r="F13" s="201" t="str">
        <f>IFERROR(AVERAGE('Január-December'!H307:H336),"")</f>
        <v/>
      </c>
      <c r="G13" s="201" t="str">
        <f>IFERROR(AVERAGE('Január-December'!I307:I336),"")</f>
        <v/>
      </c>
      <c r="H13" s="201">
        <f>MAX('Január-December'!H307:H336)</f>
        <v>0</v>
      </c>
      <c r="I13" s="233">
        <f>MIN('Január-December'!H307:H336)</f>
        <v>0</v>
      </c>
      <c r="J13" s="202">
        <f>MAX('Január-December'!J307:J336)</f>
        <v>0</v>
      </c>
      <c r="K13" s="201">
        <f>MIN('Január-December'!K307:K336)</f>
        <v>0</v>
      </c>
      <c r="L13" s="203" t="str">
        <f>IFERROR(AVERAGE('Január-December'!L307:L336),"")</f>
        <v/>
      </c>
      <c r="M13" s="204">
        <f>MAX('Január-December'!M307:M336)</f>
        <v>0</v>
      </c>
      <c r="N13" s="205">
        <f>COUNTIF('Január-December'!M307:M336,"&gt;95")</f>
        <v>0</v>
      </c>
      <c r="O13" s="206">
        <f>MIN('Január-December'!N307:N336)</f>
        <v>0</v>
      </c>
      <c r="P13" s="206" t="str">
        <f>IFERROR(AVERAGE('Január-December'!O307:O336),"")</f>
        <v/>
      </c>
      <c r="Q13" s="206">
        <f>MAX('Január-December'!O307:O336)</f>
        <v>0</v>
      </c>
      <c r="R13" s="206">
        <f>MIN('Január-December'!O307:O336)</f>
        <v>0</v>
      </c>
      <c r="S13" s="231">
        <f>MAX('Január-December'!P307:P336)</f>
        <v>0</v>
      </c>
      <c r="T13" s="209">
        <f>MIN('Január-December'!Q307:Q336)</f>
        <v>0</v>
      </c>
      <c r="U13" s="232" t="str">
        <f>IFERROR(AVERAGE('Január-December'!R307:R336),"")</f>
        <v/>
      </c>
      <c r="V13" s="220">
        <f>MAX('Január-December'!S307:S336)</f>
        <v>0</v>
      </c>
      <c r="W13" s="234">
        <f>MAX('Január-December'!T307:T336)</f>
        <v>0</v>
      </c>
      <c r="X13" s="234" t="str">
        <f>IFERROR(AVERAGE('Január-December'!U307:U336),"")</f>
        <v/>
      </c>
      <c r="Y13" s="234">
        <f>MAX('Január-December'!U307:U336)</f>
        <v>0</v>
      </c>
      <c r="Z13" s="234">
        <f>MIN('Január-December'!U307:U336)</f>
        <v>0</v>
      </c>
      <c r="AA13" s="238"/>
      <c r="AB13" s="222">
        <f>MAX('Január-December'!X307:X336)</f>
        <v>0</v>
      </c>
      <c r="AC13" s="223">
        <f>MAX('Január-December'!Y307:Y336)</f>
        <v>0</v>
      </c>
      <c r="AD13" s="224">
        <f>SUM('Január-December'!Y307:Y336)</f>
        <v>0</v>
      </c>
      <c r="AE13" s="225">
        <f>MAX('Január-December'!Z307:Z336)</f>
        <v>0</v>
      </c>
      <c r="AF13" s="226">
        <f>MAX('Január-December'!AA307:AA336)</f>
        <v>0</v>
      </c>
      <c r="AG13" s="227"/>
    </row>
    <row r="14" spans="1:33" s="228" customFormat="1" ht="15" thickBot="1" x14ac:dyDescent="0.35">
      <c r="A14" s="236" t="s">
        <v>34</v>
      </c>
      <c r="B14" s="229">
        <f>MAX('Január-December'!E337:E367)</f>
        <v>0</v>
      </c>
      <c r="C14" s="201">
        <f>MIN('Január-December'!F337:F367)</f>
        <v>0</v>
      </c>
      <c r="D14" s="201">
        <f>MAX('Január-December'!G337:G367)</f>
        <v>0</v>
      </c>
      <c r="E14" s="201">
        <f>MIN('Január-December'!G337:G367)</f>
        <v>0</v>
      </c>
      <c r="F14" s="201" t="str">
        <f>IFERROR(AVERAGE('Január-December'!H337:H367),"")</f>
        <v/>
      </c>
      <c r="G14" s="201" t="str">
        <f>IFERROR(AVERAGE('Január-December'!I337:I367),"")</f>
        <v/>
      </c>
      <c r="H14" s="201">
        <f>MAX('Január-December'!H337:H367)</f>
        <v>0</v>
      </c>
      <c r="I14" s="233">
        <f>MIN('Január-December'!H337:H367)</f>
        <v>0</v>
      </c>
      <c r="J14" s="202">
        <f>MAX('Január-December'!J337:J367)</f>
        <v>0</v>
      </c>
      <c r="K14" s="201">
        <f>MIN('Január-December'!K337:K367)</f>
        <v>0</v>
      </c>
      <c r="L14" s="203" t="str">
        <f>IFERROR(AVERAGE('Január-December'!L337:L367),"")</f>
        <v/>
      </c>
      <c r="M14" s="204">
        <f>MAX('Január-December'!M337:M367)</f>
        <v>0</v>
      </c>
      <c r="N14" s="205">
        <f>COUNTIF('Január-December'!M337:M367,"&gt;95")</f>
        <v>0</v>
      </c>
      <c r="O14" s="206">
        <f>MIN('Január-December'!N337:N367)</f>
        <v>0</v>
      </c>
      <c r="P14" s="206" t="str">
        <f>IFERROR(AVERAGE('Január-December'!O337:O367),"")</f>
        <v/>
      </c>
      <c r="Q14" s="206">
        <f>MAX('Január-December'!O337:O367)</f>
        <v>0</v>
      </c>
      <c r="R14" s="206">
        <f>MIN('Január-December'!O337:O367)</f>
        <v>0</v>
      </c>
      <c r="S14" s="231">
        <f>MAX('Január-December'!P337:P367)</f>
        <v>0</v>
      </c>
      <c r="T14" s="209">
        <f>MIN('Január-December'!Q337:Q367)</f>
        <v>0</v>
      </c>
      <c r="U14" s="232" t="str">
        <f>IFERROR(AVERAGE('Január-December'!R337:R367),"")</f>
        <v/>
      </c>
      <c r="V14" s="220">
        <f>MAX('Január-December'!S337:S367)</f>
        <v>0</v>
      </c>
      <c r="W14" s="234">
        <f>MAX('Január-December'!T337:T367)</f>
        <v>0</v>
      </c>
      <c r="X14" s="234" t="str">
        <f>IFERROR(AVERAGE('Január-December'!U337:U367),"")</f>
        <v/>
      </c>
      <c r="Y14" s="234">
        <f>MAX('Január-December'!U337:U367)</f>
        <v>0</v>
      </c>
      <c r="Z14" s="234">
        <f>MIN('Január-December'!U337:U367)</f>
        <v>0</v>
      </c>
      <c r="AA14" s="238"/>
      <c r="AB14" s="222">
        <f>MAX('Január-December'!X337:X367)</f>
        <v>0</v>
      </c>
      <c r="AC14" s="223">
        <f>MAX('Január-December'!Y337:Y367)</f>
        <v>0</v>
      </c>
      <c r="AD14" s="224">
        <f>SUM('Január-December'!Y337:Y367)</f>
        <v>0</v>
      </c>
      <c r="AE14" s="225">
        <f>MAX('Január-December'!Z337:Z367)</f>
        <v>0</v>
      </c>
      <c r="AF14" s="226">
        <f>MAX('Január-December'!AA337:AA367)</f>
        <v>0</v>
      </c>
      <c r="AG14" s="227"/>
    </row>
    <row r="15" spans="1:33" s="190" customFormat="1" ht="16.2" thickBot="1" x14ac:dyDescent="0.35">
      <c r="A15" s="178">
        <v>2025</v>
      </c>
      <c r="B15" s="179">
        <f>MAX(B3:B14)</f>
        <v>27.5</v>
      </c>
      <c r="C15" s="180">
        <f>MIN(C3:C14)</f>
        <v>-13.8</v>
      </c>
      <c r="D15" s="180">
        <f>MAX(D3:D14)</f>
        <v>25.1</v>
      </c>
      <c r="E15" s="180">
        <f>MIN(E3:E14)</f>
        <v>0</v>
      </c>
      <c r="F15" s="180">
        <f>AVERAGE(F3:F14)</f>
        <v>4.8031331605222718</v>
      </c>
      <c r="G15" s="180">
        <f>AVERAGE(G3:G14)</f>
        <v>4.1408183488128847</v>
      </c>
      <c r="H15" s="180">
        <f>MAX(H3:H14)</f>
        <v>17.7</v>
      </c>
      <c r="I15" s="181">
        <f>MIN(I3:I14)</f>
        <v>-4.4749999999999996</v>
      </c>
      <c r="J15" s="179">
        <f>MAX(J3:J14)</f>
        <v>18</v>
      </c>
      <c r="K15" s="180">
        <f>MIN(K3:K14)</f>
        <v>-15.4</v>
      </c>
      <c r="L15" s="181">
        <f>AVERAGE(L3:L14)</f>
        <v>0.94507760207739422</v>
      </c>
      <c r="M15" s="182">
        <f>MAX(M3:M14)</f>
        <v>100</v>
      </c>
      <c r="N15" s="191">
        <f>SUM(N3:N14)</f>
        <v>72</v>
      </c>
      <c r="O15" s="183">
        <f>MIN(O3)</f>
        <v>60.5</v>
      </c>
      <c r="P15" s="183">
        <f>AVERAGE(P3:P14)</f>
        <v>81.869025937347672</v>
      </c>
      <c r="Q15" s="183">
        <f>MAX(Q3:Q14)</f>
        <v>100</v>
      </c>
      <c r="R15" s="184">
        <f>MIN(R3:R14)</f>
        <v>0</v>
      </c>
      <c r="S15" s="185">
        <f>MAX(S3:S14)</f>
        <v>1040.7937058315499</v>
      </c>
      <c r="T15" s="186">
        <f>MIN(T3:T14)</f>
        <v>0</v>
      </c>
      <c r="U15" s="193">
        <f>AVERAGE(U3:U14)</f>
        <v>1019.558523014037</v>
      </c>
      <c r="V15" s="192">
        <f>MAX(V3:V14)</f>
        <v>15.30000001224</v>
      </c>
      <c r="W15" s="187">
        <f>MAX(W3:W14)</f>
        <v>9.0333333405600005</v>
      </c>
      <c r="X15" s="187">
        <f>AVERAGE(X3:X14)</f>
        <v>1.5028424508682874</v>
      </c>
      <c r="Y15" s="187">
        <f>MAX(Y3:Y14)</f>
        <v>4.8054583067862557</v>
      </c>
      <c r="Z15" s="187">
        <f>MIN(Z3:Z14)</f>
        <v>0</v>
      </c>
      <c r="AA15" s="239"/>
      <c r="AB15" s="194">
        <f>MAX(AB3:AB14)</f>
        <v>156</v>
      </c>
      <c r="AC15" s="188">
        <f>MAX(AC3:AC14)</f>
        <v>25</v>
      </c>
      <c r="AD15" s="188">
        <f>SUM(AD3:AD14)</f>
        <v>159.29999999999998</v>
      </c>
      <c r="AE15" s="189">
        <f>MAX(AE3:AE14)</f>
        <v>3</v>
      </c>
      <c r="AF15" s="189">
        <f>MAX(AF3:AF14)</f>
        <v>5</v>
      </c>
    </row>
    <row r="16" spans="1:33" ht="15.6" x14ac:dyDescent="0.3">
      <c r="A16" s="289"/>
      <c r="AD16" s="10"/>
    </row>
    <row r="17" spans="1:30" ht="15.6" x14ac:dyDescent="0.3">
      <c r="A17" s="289"/>
      <c r="AD17" s="10"/>
    </row>
    <row r="18" spans="1:30" ht="15.6" x14ac:dyDescent="0.3">
      <c r="A18" s="289"/>
      <c r="AD18" s="10"/>
    </row>
  </sheetData>
  <autoFilter ref="A3:A15" xr:uid="{00000000-0009-0000-0000-000002000000}">
    <filterColumn colId="0">
      <colorFilter dxfId="163"/>
    </filterColumn>
  </autoFilter>
  <mergeCells count="6">
    <mergeCell ref="AB1:AF1"/>
    <mergeCell ref="V1:AA1"/>
    <mergeCell ref="S1:U1"/>
    <mergeCell ref="J1:L1"/>
    <mergeCell ref="B1:I1"/>
    <mergeCell ref="M1:R1"/>
  </mergeCells>
  <conditionalFormatting sqref="B3:I14">
    <cfRule type="cellIs" dxfId="3" priority="14" operator="equal">
      <formula>0</formula>
    </cfRule>
  </conditionalFormatting>
  <conditionalFormatting sqref="J3:Z14 AB3:AF14">
    <cfRule type="cellIs" dxfId="2" priority="13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AD15" formula="1"/>
    <ignoredError sqref="S9:U9 F3:M3 F9:M9 S8:Z8 AB8:AF8 AB9:AF9 S10:U10 AB10:AF10 S11:Z11 AB11:AF11 F14:H14 G13 AB13:AF13 S14:Z14 AB14:AF14 S3:Z3 AB3:AF3 S5:Z5 AB5:AF5 S6:Z6 AB6:AF6 S7:Z7 AB7:AF7 S12:Z12 AB12:AF12 F5:M5 F6:M6 F7:M7 F8:M8 C6 C5 C3 B3 D3:E3 B5 D5:E5 B6 D6:E6 C15 E15 B7:C7 B8:C8 B9:C9 B10:C10 B11:C11 B13:C13 B12:C12 B14:C14 F12:H12 F11:M11 F10:M10 O6:R6 O3:R3 O5:R5 O7:R7 O8:R8 O9:R9 O10:R10 O11:R11 O12:R12 O13:Z13 O14:R14 V9:Z9 V10:Z10 N3 J13:M13 J12:M12 J14:M14 D7:E7 N5:N14 B4:Z4 AB4:AF4" formulaRange="1"/>
    <ignoredError sqref="D15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5"/>
  <sheetViews>
    <sheetView zoomScale="85" zoomScaleNormal="85" workbookViewId="0">
      <selection activeCell="R22" sqref="R22"/>
    </sheetView>
  </sheetViews>
  <sheetFormatPr defaultRowHeight="14.4" x14ac:dyDescent="0.3"/>
  <cols>
    <col min="1" max="1" width="11.109375" customWidth="1"/>
    <col min="8" max="14" width="7.77734375" customWidth="1"/>
    <col min="15" max="16" width="7.5546875" customWidth="1"/>
    <col min="17" max="17" width="11.5546875" customWidth="1"/>
    <col min="18" max="18" width="11.109375" customWidth="1"/>
    <col min="20" max="20" width="12" customWidth="1"/>
    <col min="21" max="21" width="12.21875" customWidth="1"/>
    <col min="23" max="23" width="10.109375" customWidth="1"/>
    <col min="25" max="25" width="12" customWidth="1"/>
    <col min="26" max="26" width="10.5546875" customWidth="1"/>
    <col min="29" max="29" width="10.109375" customWidth="1"/>
  </cols>
  <sheetData>
    <row r="1" spans="1:30" s="249" customFormat="1" ht="16.5" customHeight="1" thickBot="1" x14ac:dyDescent="0.35">
      <c r="A1" s="512" t="s">
        <v>1</v>
      </c>
      <c r="B1" s="514" t="s">
        <v>102</v>
      </c>
      <c r="C1" s="515"/>
      <c r="D1" s="515"/>
      <c r="E1" s="515"/>
      <c r="F1" s="515"/>
      <c r="G1" s="516"/>
      <c r="H1" s="517" t="s">
        <v>101</v>
      </c>
      <c r="I1" s="518"/>
      <c r="J1" s="518"/>
      <c r="K1" s="518"/>
      <c r="L1" s="519"/>
      <c r="M1" s="507" t="s">
        <v>205</v>
      </c>
      <c r="N1" s="507"/>
      <c r="O1" s="507"/>
      <c r="P1" s="507"/>
      <c r="Q1" s="507"/>
      <c r="R1" s="508"/>
      <c r="S1" s="520" t="s">
        <v>14</v>
      </c>
      <c r="T1" s="521"/>
      <c r="U1" s="521"/>
      <c r="V1" s="521"/>
      <c r="W1" s="521"/>
      <c r="X1" s="521"/>
      <c r="Y1" s="522"/>
      <c r="Z1" s="509" t="s">
        <v>194</v>
      </c>
      <c r="AA1" s="510"/>
      <c r="AB1" s="510"/>
      <c r="AC1" s="511"/>
      <c r="AD1" s="251"/>
    </row>
    <row r="2" spans="1:30" s="195" customFormat="1" ht="45.75" customHeight="1" thickBot="1" x14ac:dyDescent="0.35">
      <c r="A2" s="513"/>
      <c r="B2" s="245" t="s">
        <v>100</v>
      </c>
      <c r="C2" s="246" t="s">
        <v>99</v>
      </c>
      <c r="D2" s="246" t="s">
        <v>98</v>
      </c>
      <c r="E2" s="246" t="s">
        <v>96</v>
      </c>
      <c r="F2" s="247" t="s">
        <v>97</v>
      </c>
      <c r="G2" s="247" t="s">
        <v>95</v>
      </c>
      <c r="H2" s="245" t="s">
        <v>176</v>
      </c>
      <c r="I2" s="195" t="s">
        <v>115</v>
      </c>
      <c r="J2" s="248" t="s">
        <v>114</v>
      </c>
      <c r="K2" s="248" t="s">
        <v>113</v>
      </c>
      <c r="L2" s="247" t="s">
        <v>103</v>
      </c>
      <c r="M2" s="327" t="s">
        <v>206</v>
      </c>
      <c r="N2" s="287" t="s">
        <v>197</v>
      </c>
      <c r="O2" s="285" t="s">
        <v>177</v>
      </c>
      <c r="P2" s="287" t="s">
        <v>189</v>
      </c>
      <c r="Q2" s="288" t="s">
        <v>204</v>
      </c>
      <c r="R2" s="286" t="s">
        <v>185</v>
      </c>
      <c r="S2" s="329" t="s">
        <v>184</v>
      </c>
      <c r="T2" s="151" t="s">
        <v>183</v>
      </c>
      <c r="U2" s="150" t="s">
        <v>182</v>
      </c>
      <c r="V2" s="252" t="s">
        <v>181</v>
      </c>
      <c r="W2" s="79" t="s">
        <v>188</v>
      </c>
      <c r="X2" s="79" t="s">
        <v>180</v>
      </c>
      <c r="Y2" s="330" t="s">
        <v>207</v>
      </c>
      <c r="Z2" s="328" t="s">
        <v>187</v>
      </c>
      <c r="AA2" s="152" t="s">
        <v>191</v>
      </c>
      <c r="AB2" s="153" t="s">
        <v>193</v>
      </c>
      <c r="AC2" s="243" t="s">
        <v>192</v>
      </c>
      <c r="AD2" s="250"/>
    </row>
    <row r="3" spans="1:30" s="69" customFormat="1" x14ac:dyDescent="0.3">
      <c r="A3" s="69" t="s">
        <v>23</v>
      </c>
      <c r="B3" s="69">
        <f>COUNTIF('Január-December'!E3:E33,"&lt;=-10")</f>
        <v>0</v>
      </c>
      <c r="C3" s="69">
        <f>COUNTIF('Január-December'!E3:E33,"&lt;=-0.1")</f>
        <v>8</v>
      </c>
      <c r="D3" s="69">
        <f>COUNTIF('Január-December'!F3:F33,"&lt;=0")</f>
        <v>25</v>
      </c>
      <c r="E3" s="69">
        <f>COUNTIF('Január-December'!E3:E33,"&gt;="&amp;25)</f>
        <v>0</v>
      </c>
      <c r="F3" s="69">
        <f>COUNTIF('Január-December'!E3:E33,"&gt;=30")</f>
        <v>0</v>
      </c>
      <c r="G3" s="69">
        <f>COUNTIF('Január-December'!AB3:AB33,"*tropická noc*")</f>
        <v>0</v>
      </c>
      <c r="H3" s="69">
        <f>COUNTIF(búrky!E5:E7,"*w*")</f>
        <v>0</v>
      </c>
      <c r="I3" s="69">
        <f>COUNTIF(búrky!E5:E7,"*P*")</f>
        <v>0</v>
      </c>
      <c r="J3" s="69">
        <f>COUNTIF(búrky!E5:E7,"*L*")</f>
        <v>0</v>
      </c>
      <c r="K3" s="78">
        <f>COUNTIF(búrky!E5:E7,"*V*")</f>
        <v>0</v>
      </c>
      <c r="L3" s="76">
        <f>SUM(I3:K3)</f>
        <v>0</v>
      </c>
      <c r="M3" s="76">
        <f>COUNTIF('Január-December'!AB3:AB33,"*zákal*")</f>
        <v>1</v>
      </c>
      <c r="N3" s="76">
        <f>COUNTIF('Január-December'!AB3:AB33,"*dymno*")</f>
        <v>10</v>
      </c>
      <c r="O3" s="69">
        <f>COUNTIF('Január-December'!AB3:AB33,"*hmla*")</f>
        <v>7</v>
      </c>
      <c r="P3" s="76">
        <f>COUNTIF('Január-December'!AB3:AB33,"*slnečný deň*")</f>
        <v>1</v>
      </c>
      <c r="Q3" s="76">
        <f>COUNTIF('Január-December'!AB3:AB33,"*0/8*")</f>
        <v>0</v>
      </c>
      <c r="R3" s="76">
        <f>COUNTIF('Január-December'!AB3:AB33,"*8/8*")</f>
        <v>16</v>
      </c>
      <c r="S3" s="69">
        <f t="shared" ref="S3:S14" si="0">SUM(T3,U3)</f>
        <v>17</v>
      </c>
      <c r="T3" s="76">
        <f>COUNTIF('Január-December'!W3:W33,"*N*")</f>
        <v>6</v>
      </c>
      <c r="U3" s="76">
        <f>COUNTIF('Január-December'!W3:W33,"*Z*")</f>
        <v>11</v>
      </c>
      <c r="V3" s="69">
        <f>COUNTIF('Január-December'!W3:W33,"*D*")</f>
        <v>8</v>
      </c>
      <c r="W3" s="69">
        <f>COUNTIF('Január-December'!W3:W33,"*K*")</f>
        <v>0</v>
      </c>
      <c r="X3" s="69">
        <f>COUNTIF('Január-December'!W3:W33,"*S*")</f>
        <v>11</v>
      </c>
      <c r="Y3" s="69">
        <f>COUNTIF('Január-December'!W2:W32,"*U*")</f>
        <v>0</v>
      </c>
      <c r="Z3" s="69">
        <f>SUM(AA3:AC3)</f>
        <v>12</v>
      </c>
      <c r="AA3" s="69">
        <f>COUNTIF('Január-December'!AB3:AB33,"*SSP*")</f>
        <v>4</v>
      </c>
      <c r="AB3" s="69">
        <f>COUNTIF('Január-December'!AB3:AB33,"*NSP*")</f>
        <v>6</v>
      </c>
      <c r="AC3" s="69">
        <f>COUNTIF('Január-December'!AB3:AB33,"*poprašok*")</f>
        <v>2</v>
      </c>
    </row>
    <row r="4" spans="1:30" s="69" customFormat="1" x14ac:dyDescent="0.3">
      <c r="A4" s="64" t="s">
        <v>24</v>
      </c>
      <c r="B4" s="69">
        <f>COUNTIF('Január-December'!E34:E61,"&lt;=-10")</f>
        <v>0</v>
      </c>
      <c r="C4" s="69">
        <f>COUNTIF('Január-December'!E34:E61,"&lt;=-0.1")</f>
        <v>0</v>
      </c>
      <c r="D4" s="69">
        <f>COUNTIF('Január-December'!F34:F61,"&lt;=0")</f>
        <v>26</v>
      </c>
      <c r="E4" s="69">
        <f>COUNTIF('Január-December'!E34:E61,"&gt;="&amp;25)</f>
        <v>0</v>
      </c>
      <c r="F4" s="69">
        <f>COUNTIF('Január-December'!E34:E61,"&gt;=30")</f>
        <v>0</v>
      </c>
      <c r="G4" s="69">
        <f>COUNTIF('Január-December'!AB34:AB61,"*tropická noc*")</f>
        <v>0</v>
      </c>
      <c r="H4" s="69">
        <f>COUNTIF(búrky!E19:E21,"*w*")</f>
        <v>0</v>
      </c>
      <c r="I4" s="69">
        <f>COUNTIF(búrky!E19:E21,"*P*")</f>
        <v>0</v>
      </c>
      <c r="J4" s="69">
        <f>COUNTIF(búrky!E19:E21,"*L*")</f>
        <v>0</v>
      </c>
      <c r="K4" s="69">
        <f>COUNTIF(búrky!E19:E21,"*V*")</f>
        <v>0</v>
      </c>
      <c r="L4" s="76">
        <f t="shared" ref="L4:L14" si="1">SUM(I4:K4)</f>
        <v>0</v>
      </c>
      <c r="M4" s="69">
        <f>COUNTIF('Január-December'!AB34:AB61,"*zákal*")</f>
        <v>2</v>
      </c>
      <c r="N4" s="69">
        <f>COUNTIF('Január-December'!AB34:AB61,"*dymno*")</f>
        <v>5</v>
      </c>
      <c r="O4" s="69">
        <f>COUNTIF('Január-December'!AB34:AB61,"*hmla*")</f>
        <v>3</v>
      </c>
      <c r="P4" s="69">
        <f>COUNTIF('Január-December'!AB34:AB61,"*slnečný deň*")</f>
        <v>5</v>
      </c>
      <c r="Q4" s="254">
        <f>COUNTIF('Január-December'!AB34:AB61,"*0/8*")</f>
        <v>0</v>
      </c>
      <c r="R4" s="254">
        <f>COUNTIF('Január-December'!AB34:AB61,"*8/8*")</f>
        <v>2</v>
      </c>
      <c r="S4" s="69">
        <f t="shared" si="0"/>
        <v>13</v>
      </c>
      <c r="T4" s="254">
        <f>COUNTIF('Január-December'!W34:W61,"*N*")</f>
        <v>7</v>
      </c>
      <c r="U4" s="254">
        <f>COUNTIF('Január-December'!W34:W61,"*Z*")</f>
        <v>6</v>
      </c>
      <c r="V4" s="69">
        <f>COUNTIF('Január-December'!W34:W61,"*D*")</f>
        <v>4</v>
      </c>
      <c r="W4" s="69">
        <f>COUNTIF('Január-December'!W34:W61,"*K*")</f>
        <v>0</v>
      </c>
      <c r="X4" s="69">
        <f>COUNTIF('Január-December'!W34:W61,"*S*")</f>
        <v>10</v>
      </c>
      <c r="Y4" s="69">
        <f>COUNTIF('Január-December'!W33:W61,"*U*")</f>
        <v>0</v>
      </c>
      <c r="Z4" s="69">
        <f t="shared" ref="Z4:Z14" si="2">SUM(AA4:AC4)</f>
        <v>4</v>
      </c>
      <c r="AA4" s="69">
        <f>COUNTIF('Január-December'!AB34:AB61,"*SSP*")</f>
        <v>3</v>
      </c>
      <c r="AB4" s="69">
        <f>COUNTIF('Január-December'!AB34:AB61,"*NSP*")</f>
        <v>1</v>
      </c>
      <c r="AC4" s="69">
        <f>COUNTIF('Január-December'!AB34:AB61,"*poprašok*")</f>
        <v>0</v>
      </c>
    </row>
    <row r="5" spans="1:30" s="69" customFormat="1" x14ac:dyDescent="0.3">
      <c r="A5" s="64" t="s">
        <v>25</v>
      </c>
      <c r="B5" s="69">
        <f>COUNTIF('Január-December'!E62:E92,"&lt;=-10")</f>
        <v>0</v>
      </c>
      <c r="C5" s="69">
        <f>COUNTIF('Január-December'!E62:E92,"&lt;=-0.1")</f>
        <v>0</v>
      </c>
      <c r="D5" s="69">
        <f>COUNTIF('Január-December'!F62:F92,"&lt;=0")</f>
        <v>17</v>
      </c>
      <c r="E5" s="69">
        <f>COUNTIF('Január-December'!E62:E92,"&gt;="&amp;25)</f>
        <v>0</v>
      </c>
      <c r="F5" s="69">
        <f>COUNTIF('Január-December'!E62:E92,"&gt;=30")</f>
        <v>0</v>
      </c>
      <c r="G5" s="69">
        <f>COUNTIF('Január-December'!AB62:AB92,"*tropická noc*")</f>
        <v>0</v>
      </c>
      <c r="H5" s="69">
        <f>COUNTIF(búrky!E33:E36,"*w*")</f>
        <v>1</v>
      </c>
      <c r="I5" s="69">
        <f>COUNTIF(búrky!E33:E36,"*P*")</f>
        <v>0</v>
      </c>
      <c r="J5" s="64">
        <f>COUNTIF(búrky!E33:E36,"*L*")</f>
        <v>1</v>
      </c>
      <c r="K5" s="74">
        <f>COUNTIF(búrky!E33:E36,"*V*")</f>
        <v>0</v>
      </c>
      <c r="L5" s="76">
        <f>SUM(I5:K5)</f>
        <v>1</v>
      </c>
      <c r="M5" s="69">
        <f>COUNTIF('Január-December'!AB62:AB92,"*zákal*")</f>
        <v>0</v>
      </c>
      <c r="N5" s="69">
        <f>COUNTIF('Január-December'!AB62:AB92,"*dymno*")</f>
        <v>1</v>
      </c>
      <c r="O5" s="69">
        <f>COUNTIF('Január-December'!AB62:AB92,"*hmla*")</f>
        <v>6</v>
      </c>
      <c r="P5" s="69">
        <f>COUNTIF('Január-December'!AB62:AB92,"*slnečný deň*")</f>
        <v>9</v>
      </c>
      <c r="Q5" s="254">
        <f>COUNTIF('Január-December'!AB62:AB92,"*0/8*")</f>
        <v>2</v>
      </c>
      <c r="R5" s="254">
        <f>COUNTIF('Január-December'!AB62:AB92,"*8/8*")</f>
        <v>4</v>
      </c>
      <c r="S5" s="69">
        <f t="shared" si="0"/>
        <v>14</v>
      </c>
      <c r="T5" s="254">
        <f>COUNTIF('Január-December'!W62:W92,"*N*")</f>
        <v>4</v>
      </c>
      <c r="U5" s="254">
        <f>COUNTIF('Január-December'!W62:W92,"*Z*")</f>
        <v>10</v>
      </c>
      <c r="V5" s="69">
        <f>COUNTIF('Január-December'!W62:W92,"*D*")</f>
        <v>12</v>
      </c>
      <c r="W5" s="69">
        <f>COUNTIF('Január-December'!W62:W92,"*K*")</f>
        <v>0</v>
      </c>
      <c r="X5" s="69">
        <f>COUNTIF('Január-December'!W62:W92,"*S*")</f>
        <v>4</v>
      </c>
      <c r="Y5" s="69">
        <f>COUNTIF('Január-December'!W62:W91,"*U*")</f>
        <v>0</v>
      </c>
      <c r="Z5" s="69">
        <f t="shared" si="2"/>
        <v>0</v>
      </c>
      <c r="AA5" s="69">
        <f>COUNTIF('Január-December'!AB62:AB92,"*SSP*")</f>
        <v>0</v>
      </c>
      <c r="AB5" s="69">
        <f>COUNTIF('Január-December'!AB62:AB92,"*NSP*")</f>
        <v>0</v>
      </c>
      <c r="AC5" s="69">
        <f>COUNTIF('Január-December'!AB62:AB92,"*poprašok*")</f>
        <v>0</v>
      </c>
    </row>
    <row r="6" spans="1:30" s="69" customFormat="1" x14ac:dyDescent="0.3">
      <c r="A6" s="64" t="s">
        <v>26</v>
      </c>
      <c r="B6" s="69">
        <f>COUNTIF('Január-December'!E93:E122,"&lt;=-10")</f>
        <v>0</v>
      </c>
      <c r="C6" s="69">
        <f>COUNTIF('Január-December'!E93:E122,"&lt;=-0.1")</f>
        <v>0</v>
      </c>
      <c r="D6" s="69">
        <f>COUNTIF('Január-December'!F93:F122,"&lt;=0")</f>
        <v>8</v>
      </c>
      <c r="E6" s="69">
        <f>COUNTIF('Január-December'!E93:E122,"&gt;="&amp;25)</f>
        <v>4</v>
      </c>
      <c r="F6" s="69">
        <f>COUNTIF('Január-December'!E93:E122,"&gt;=30")</f>
        <v>0</v>
      </c>
      <c r="G6" s="69">
        <f>COUNTIF('Január-December'!AB93:AB122,"*tropická noc*")</f>
        <v>0</v>
      </c>
      <c r="H6" s="69">
        <f>COUNTIF(búrky!E48:E56,"*w*")</f>
        <v>5</v>
      </c>
      <c r="I6" s="69">
        <f>COUNTIF(búrky!E48:E56,"*P*")</f>
        <v>4</v>
      </c>
      <c r="J6" s="64">
        <f>COUNTIF(búrky!E48:E56,"*L*")</f>
        <v>0</v>
      </c>
      <c r="K6" s="74">
        <f>COUNTIF(búrky!E48:E56,"*V*")</f>
        <v>2</v>
      </c>
      <c r="L6" s="76">
        <f>SUM(I6:K6)</f>
        <v>6</v>
      </c>
      <c r="M6" s="69">
        <f>COUNTIF('Január-December'!AB93:AB122,"*zákal*")</f>
        <v>0</v>
      </c>
      <c r="N6" s="69">
        <f>COUNTIF('Január-December'!AB93:AB122,"*dymno*")</f>
        <v>1</v>
      </c>
      <c r="O6" s="69">
        <f>COUNTIF('Január-December'!AB93:AB122,"*hmla*")</f>
        <v>5</v>
      </c>
      <c r="P6" s="69">
        <f>COUNTIF('Január-December'!AB93:AB122,"*slnečný deň*")</f>
        <v>6</v>
      </c>
      <c r="Q6" s="254">
        <f>COUNTIF('Január-December'!AB93:AB122,"*0/8*")</f>
        <v>0</v>
      </c>
      <c r="R6" s="254">
        <f>COUNTIF('Január-December'!AB93:AB122,"*8/8*")</f>
        <v>3</v>
      </c>
      <c r="S6" s="69">
        <f t="shared" si="0"/>
        <v>17</v>
      </c>
      <c r="T6" s="254">
        <f>COUNTIF('Január-December'!W93:W122,"*N*")</f>
        <v>4</v>
      </c>
      <c r="U6" s="254">
        <f>COUNTIF('Január-December'!W93:W122,"*Z*")</f>
        <v>13</v>
      </c>
      <c r="V6" s="69">
        <f>COUNTIF('Január-December'!W93:W122,"*D*")</f>
        <v>14</v>
      </c>
      <c r="W6" s="69">
        <f>COUNTIF('Január-December'!W93:W122,"*K*")</f>
        <v>0</v>
      </c>
      <c r="X6" s="69">
        <f>COUNTIF('Január-December'!W93:W122,"*S*")</f>
        <v>6</v>
      </c>
      <c r="Y6" s="69">
        <f>COUNTIF('Január-December'!W93:W122,"*U*")</f>
        <v>0</v>
      </c>
      <c r="Z6" s="69">
        <f t="shared" si="2"/>
        <v>1</v>
      </c>
      <c r="AA6" s="69">
        <f>COUNTIF('Január-December'!AB93:AB122,"*SSP*")</f>
        <v>1</v>
      </c>
      <c r="AB6" s="69">
        <f>COUNTIF('Január-December'!AB93:AB122,"*NSP*")</f>
        <v>0</v>
      </c>
      <c r="AC6" s="69">
        <f>COUNTIF('Január-December'!AB93:AB122,"*poprašok*")</f>
        <v>0</v>
      </c>
    </row>
    <row r="7" spans="1:30" s="69" customFormat="1" x14ac:dyDescent="0.3">
      <c r="A7" s="64" t="s">
        <v>27</v>
      </c>
      <c r="B7" s="69">
        <f>COUNTIF('Január-December'!E123:E153,"&lt;=-10")</f>
        <v>0</v>
      </c>
      <c r="C7" s="69">
        <f>COUNTIF('Január-December'!E123:E153,"&lt;=-0.1")</f>
        <v>0</v>
      </c>
      <c r="D7" s="69">
        <f>COUNTIF('Január-December'!F123:F153,"&lt;=0")</f>
        <v>0</v>
      </c>
      <c r="E7" s="69">
        <f>COUNTIF('Január-December'!E123:E153,"&gt;="&amp;25)</f>
        <v>0</v>
      </c>
      <c r="F7" s="69">
        <f>COUNTIF('Január-December'!E123:E153,"&gt;=30")</f>
        <v>0</v>
      </c>
      <c r="G7" s="69">
        <f>COUNTIF('Január-December'!AB123:AB153,"*tropická noc*")</f>
        <v>0</v>
      </c>
      <c r="H7" s="69">
        <f>COUNTIF(búrky!E68:E76,"*w*")</f>
        <v>0</v>
      </c>
      <c r="I7" s="69">
        <f>COUNTIF(búrky!E68:E76,"*P*")</f>
        <v>0</v>
      </c>
      <c r="J7" s="64">
        <f>COUNTIF(búrky!E68:E76,"*L*")</f>
        <v>0</v>
      </c>
      <c r="K7" s="74">
        <f>COUNTIF(búrky!E68:E76,"*V*")</f>
        <v>0</v>
      </c>
      <c r="L7" s="76">
        <f t="shared" si="1"/>
        <v>0</v>
      </c>
      <c r="M7" s="69">
        <f>COUNTIF('Január-December'!AB123:AB153,"*zákal*")</f>
        <v>0</v>
      </c>
      <c r="N7" s="69">
        <f>COUNTIF('Január-December'!AB123:AB153,"*dymno*")</f>
        <v>1</v>
      </c>
      <c r="O7" s="69">
        <f>COUNTIF('Január-December'!AB123:AB153,"*hmla*")</f>
        <v>1</v>
      </c>
      <c r="P7" s="69">
        <f>COUNTIF('Január-December'!AB123:AB153,"*slnečný deň*")</f>
        <v>0</v>
      </c>
      <c r="Q7" s="254">
        <f>COUNTIF('Január-December'!AB123:AB153,"*0/8*")</f>
        <v>0</v>
      </c>
      <c r="R7" s="254">
        <f>COUNTIF('Január-December'!AB123:AB153,"*8/8*")</f>
        <v>0</v>
      </c>
      <c r="S7" s="69">
        <f t="shared" si="0"/>
        <v>0</v>
      </c>
      <c r="T7" s="254">
        <f>COUNTIF('Január-December'!W123:W153,"*N*")</f>
        <v>0</v>
      </c>
      <c r="U7" s="254">
        <f>COUNTIF('Január-December'!W123:W153,"*Z*")</f>
        <v>0</v>
      </c>
      <c r="V7" s="69">
        <f>COUNTIF('Január-December'!W123:W153,"*D*")</f>
        <v>0</v>
      </c>
      <c r="W7" s="69">
        <f>COUNTIF('Január-December'!W123:W153,"*K*")</f>
        <v>0</v>
      </c>
      <c r="X7" s="69">
        <f>COUNTIF('Január-December'!W123:W153,"*S*")</f>
        <v>0</v>
      </c>
      <c r="Y7" s="69">
        <f>COUNTIF('Január-December'!W123:W153,"*U*")</f>
        <v>0</v>
      </c>
      <c r="Z7" s="69">
        <f t="shared" si="2"/>
        <v>0</v>
      </c>
      <c r="AA7" s="69">
        <f>COUNTIF('Január-December'!AB123:AB153,"*SSP*")</f>
        <v>0</v>
      </c>
      <c r="AB7" s="69">
        <f>COUNTIF('Január-December'!AB123:AB153,"*NSP*")</f>
        <v>0</v>
      </c>
      <c r="AC7" s="69">
        <f>COUNTIF('Január-December'!AB123:AB153,"*poprašok*")</f>
        <v>0</v>
      </c>
    </row>
    <row r="8" spans="1:30" s="69" customFormat="1" x14ac:dyDescent="0.3">
      <c r="A8" s="64" t="s">
        <v>28</v>
      </c>
      <c r="B8" s="69">
        <f>COUNTIF('Január-December'!E154:E183,"&lt;=-10")</f>
        <v>0</v>
      </c>
      <c r="C8" s="69">
        <f>COUNTIF('Január-December'!E154:E183,"&lt;=-0.1")</f>
        <v>0</v>
      </c>
      <c r="D8" s="69">
        <f>COUNTIF('Január-December'!F154:F183,"&lt;=0")</f>
        <v>0</v>
      </c>
      <c r="E8" s="69">
        <f>COUNTIF('Január-December'!E154:E183,"&gt;="&amp;25)</f>
        <v>0</v>
      </c>
      <c r="F8" s="69">
        <f>COUNTIF('Január-December'!E154:E183,"&gt;=30")</f>
        <v>0</v>
      </c>
      <c r="G8" s="69">
        <f>COUNTIF('Január-December'!AB154:AB183,"*tropická noc*")</f>
        <v>0</v>
      </c>
      <c r="H8" s="69">
        <f>COUNTIF(búrky!E88:E106,"*w*")</f>
        <v>0</v>
      </c>
      <c r="I8" s="69">
        <f>COUNTIF(búrky!E88:E106,"*P*")</f>
        <v>0</v>
      </c>
      <c r="J8" s="64">
        <f>COUNTIF(búrky!E88:E106,"*L*")</f>
        <v>0</v>
      </c>
      <c r="K8" s="74">
        <f>COUNTIF(búrky!E88:E106,"*V*")</f>
        <v>0</v>
      </c>
      <c r="L8" s="76">
        <f t="shared" si="1"/>
        <v>0</v>
      </c>
      <c r="M8" s="69">
        <f>COUNTIF('Január-December'!AB154:AB183,"*zákal*")</f>
        <v>0</v>
      </c>
      <c r="N8" s="69">
        <f>COUNTIF('Január-December'!AB154:AB183,"*dymno*")</f>
        <v>0</v>
      </c>
      <c r="O8" s="69">
        <f>COUNTIF('Január-December'!AB154:AB183,"*hmla*")</f>
        <v>0</v>
      </c>
      <c r="P8" s="69">
        <f>COUNTIF('Január-December'!AB154:AB183,"*slnečný deň*")</f>
        <v>0</v>
      </c>
      <c r="Q8" s="254">
        <f>COUNTIF('Január-December'!AB154:AB183,"*0/8*")</f>
        <v>0</v>
      </c>
      <c r="R8" s="254">
        <f>COUNTIF('Január-December'!AB154:AB183,"*8/8*")</f>
        <v>0</v>
      </c>
      <c r="S8" s="69">
        <f t="shared" si="0"/>
        <v>0</v>
      </c>
      <c r="T8" s="254">
        <f>COUNTIF('Január-December'!W154:W183,"*N*")</f>
        <v>0</v>
      </c>
      <c r="U8" s="254">
        <f>COUNTIF('Január-December'!W154:W183,"*Z*")</f>
        <v>0</v>
      </c>
      <c r="V8" s="69">
        <f>COUNTIF('Január-December'!W154:W183,"*D*")</f>
        <v>0</v>
      </c>
      <c r="W8" s="69">
        <f>COUNTIF('Január-December'!W154:W183,"*K*")</f>
        <v>0</v>
      </c>
      <c r="X8" s="69">
        <f>COUNTIF('Január-December'!W154:W183,"*S*")</f>
        <v>0</v>
      </c>
      <c r="Y8" s="69">
        <f>COUNTIF('Január-December'!W153:W182,"*U*")</f>
        <v>0</v>
      </c>
      <c r="Z8" s="69">
        <f t="shared" si="2"/>
        <v>0</v>
      </c>
      <c r="AA8" s="69">
        <f>COUNTIF('Január-December'!AB154:AB183,"*SSP*")</f>
        <v>0</v>
      </c>
      <c r="AB8" s="69">
        <f>COUNTIF('Január-December'!AB154:AB183,"*NSP*")</f>
        <v>0</v>
      </c>
      <c r="AC8" s="69">
        <f>COUNTIF('Január-December'!AB154:AB183,"*poprašok*")</f>
        <v>0</v>
      </c>
    </row>
    <row r="9" spans="1:30" s="69" customFormat="1" x14ac:dyDescent="0.3">
      <c r="A9" s="64" t="s">
        <v>29</v>
      </c>
      <c r="B9" s="69">
        <f>COUNTIF('Január-December'!E184:E214,"&lt;=-10")</f>
        <v>0</v>
      </c>
      <c r="C9" s="69">
        <f>COUNTIF('Január-December'!E184:E214,"&lt;=-0.1")</f>
        <v>0</v>
      </c>
      <c r="D9" s="69">
        <f>COUNTIF('Január-December'!F184:F214,"&lt;=0")</f>
        <v>0</v>
      </c>
      <c r="E9" s="69">
        <f>COUNTIF('Január-December'!E184:E214,"&gt;="&amp;25)</f>
        <v>0</v>
      </c>
      <c r="F9" s="69">
        <f>COUNTIF('Január-December'!E184:E214,"&gt;=30")</f>
        <v>0</v>
      </c>
      <c r="G9" s="69">
        <f>COUNTIF('Január-December'!AB184:AB214,"*tropická noc*")</f>
        <v>0</v>
      </c>
      <c r="H9" s="69">
        <f>COUNTIF(búrky!E118:E139,"*w*")</f>
        <v>0</v>
      </c>
      <c r="I9" s="69">
        <f>COUNTIF(búrky!E118:E139,"*P*")</f>
        <v>0</v>
      </c>
      <c r="J9" s="64">
        <f>COUNTIF(búrky!E118:E139,"*L*")</f>
        <v>0</v>
      </c>
      <c r="K9" s="74">
        <f>COUNTIF(búrky!E118:E139,"*V*")</f>
        <v>0</v>
      </c>
      <c r="L9" s="76">
        <f>SUM(I9:K9)</f>
        <v>0</v>
      </c>
      <c r="M9" s="69">
        <f>COUNTIF('Január-December'!AB184:AB214,"*zákal*")</f>
        <v>0</v>
      </c>
      <c r="N9" s="69">
        <f>COUNTIF('Január-December'!AB184:AB214,"*dymno*")</f>
        <v>0</v>
      </c>
      <c r="O9" s="69">
        <f>COUNTIF('Január-December'!AB184:AB214,"*hmla*")</f>
        <v>0</v>
      </c>
      <c r="P9" s="69">
        <f>COUNTIF('Január-December'!AB184:AB214,"*slnečný deň*")</f>
        <v>0</v>
      </c>
      <c r="Q9" s="254">
        <f>COUNTIF('Január-December'!AB184:AB214,"*0/8*")</f>
        <v>0</v>
      </c>
      <c r="R9" s="254">
        <f>COUNTIF('Január-December'!AB184:AB214,"*8/8*")</f>
        <v>0</v>
      </c>
      <c r="S9" s="69">
        <f t="shared" si="0"/>
        <v>0</v>
      </c>
      <c r="T9" s="254">
        <f>COUNTIF('Január-December'!W184:W214,"*N*")</f>
        <v>0</v>
      </c>
      <c r="U9" s="254">
        <f>COUNTIF('Január-December'!W184:W214,"*Z*")</f>
        <v>0</v>
      </c>
      <c r="V9" s="69">
        <f>COUNTIF('Január-December'!W184:W214,"*D*")</f>
        <v>0</v>
      </c>
      <c r="W9" s="69">
        <f>COUNTIF('Január-December'!W184:W214,"*K*")</f>
        <v>0</v>
      </c>
      <c r="X9" s="69">
        <f>COUNTIF('Január-December'!W184:W214,"*S*")</f>
        <v>0</v>
      </c>
      <c r="Y9" s="69">
        <f>COUNTIF('Január-December'!W183:W213,"*U*")</f>
        <v>0</v>
      </c>
      <c r="Z9" s="69">
        <f t="shared" si="2"/>
        <v>0</v>
      </c>
      <c r="AA9" s="69">
        <f>COUNTIF('Január-December'!AB184:AB214,"*SSP*")</f>
        <v>0</v>
      </c>
      <c r="AB9" s="69">
        <f>COUNTIF('Január-December'!AB184:AB214,"*NSP*")</f>
        <v>0</v>
      </c>
      <c r="AC9" s="69">
        <f>COUNTIF('Január-December'!AB184:AB214,"*poprašok*")</f>
        <v>0</v>
      </c>
    </row>
    <row r="10" spans="1:30" s="69" customFormat="1" x14ac:dyDescent="0.3">
      <c r="A10" s="64" t="s">
        <v>30</v>
      </c>
      <c r="B10" s="69">
        <f>COUNTIF('Január-December'!E215:E245,"&lt;=-10")</f>
        <v>0</v>
      </c>
      <c r="C10" s="69">
        <f>COUNTIF('Január-December'!E215:E245,"&lt;=-0.1")</f>
        <v>0</v>
      </c>
      <c r="D10" s="69">
        <f>COUNTIF('Január-December'!F215:F245,"&lt;=0")</f>
        <v>0</v>
      </c>
      <c r="E10" s="69">
        <f>COUNTIF('Január-December'!E215:E245,"&gt;="&amp;25)</f>
        <v>0</v>
      </c>
      <c r="F10" s="69">
        <f>COUNTIF('Január-December'!E215:E245,"&gt;=30")</f>
        <v>0</v>
      </c>
      <c r="G10" s="69">
        <f>COUNTIF('Január-December'!AB215:AB245,"*tropická noc*")</f>
        <v>0</v>
      </c>
      <c r="H10" s="69">
        <f>COUNTIF(búrky!E152:E168,"*w*")</f>
        <v>0</v>
      </c>
      <c r="I10" s="69">
        <f>COUNTIF(búrky!E152:E168,"*P*")</f>
        <v>0</v>
      </c>
      <c r="J10" s="64">
        <f>COUNTIF(búrky!E152:E168,"*L*")</f>
        <v>0</v>
      </c>
      <c r="K10" s="74">
        <f>COUNTIF(búrky!E152:E168,"*V*")</f>
        <v>0</v>
      </c>
      <c r="L10" s="76">
        <f t="shared" si="1"/>
        <v>0</v>
      </c>
      <c r="M10" s="69">
        <f>COUNTIF('Január-December'!AB215:AB245,"*zákal*")</f>
        <v>0</v>
      </c>
      <c r="N10" s="69">
        <f>COUNTIF('Január-December'!AB215:AB245,"*dymno*")</f>
        <v>0</v>
      </c>
      <c r="O10" s="69">
        <f>COUNTIF('Január-December'!AB215:AB245,"*hmla*")</f>
        <v>0</v>
      </c>
      <c r="P10" s="69">
        <f>COUNTIF('Január-December'!AB215:AB245,"*slnečný deň*")</f>
        <v>0</v>
      </c>
      <c r="Q10" s="254">
        <f>COUNTIF('Január-December'!AB215:AB245,"*0/8*")</f>
        <v>0</v>
      </c>
      <c r="R10" s="254">
        <f>COUNTIF('Január-December'!AB215:AB245,"*8/8*")</f>
        <v>0</v>
      </c>
      <c r="S10" s="69">
        <f>SUM(T10,U10)</f>
        <v>0</v>
      </c>
      <c r="T10" s="254">
        <f>COUNTIF('Január-December'!W215:W245,"*N*")</f>
        <v>0</v>
      </c>
      <c r="U10" s="254">
        <f>COUNTIF('Január-December'!W215:W245,"*Z*")</f>
        <v>0</v>
      </c>
      <c r="V10" s="69">
        <f>COUNTIF('Január-December'!W215:W245,"*D*")</f>
        <v>0</v>
      </c>
      <c r="W10" s="69">
        <f>COUNTIF('Január-December'!W215:W245,"*K*")</f>
        <v>0</v>
      </c>
      <c r="X10" s="69">
        <f>COUNTIF('Január-December'!W215:W245,"*S*")</f>
        <v>0</v>
      </c>
      <c r="Y10" s="69">
        <f>COUNTIF('Január-December'!W214:W244,"*U*")</f>
        <v>0</v>
      </c>
      <c r="Z10" s="69">
        <f t="shared" si="2"/>
        <v>0</v>
      </c>
      <c r="AA10" s="69">
        <f>COUNTIF('Január-December'!AB215:AB245,"*SSP*")</f>
        <v>0</v>
      </c>
      <c r="AB10" s="69">
        <f>COUNTIF('Január-December'!AB215:AB245,"*NSP*")</f>
        <v>0</v>
      </c>
      <c r="AC10" s="69">
        <f>COUNTIF('Január-December'!AB215:AB245,"*poprašok*")</f>
        <v>0</v>
      </c>
    </row>
    <row r="11" spans="1:30" s="69" customFormat="1" ht="15" customHeight="1" x14ac:dyDescent="0.3">
      <c r="A11" s="64" t="s">
        <v>31</v>
      </c>
      <c r="B11" s="69">
        <f>COUNTIF('Január-December'!E246:E275,"&lt;=-10")</f>
        <v>0</v>
      </c>
      <c r="C11" s="69">
        <f>COUNTIF('Január-December'!E246:E275,"&lt;=-0.1")</f>
        <v>0</v>
      </c>
      <c r="D11" s="69">
        <f>COUNTIF('Január-December'!F246:F275,"&lt;=0")</f>
        <v>0</v>
      </c>
      <c r="E11" s="69">
        <f>COUNTIF('Január-December'!E246:E275,"&gt;="&amp;25)</f>
        <v>0</v>
      </c>
      <c r="F11" s="69">
        <f>COUNTIF('Január-December'!E246:E275,"&gt;=30")</f>
        <v>0</v>
      </c>
      <c r="G11" s="69">
        <f>COUNTIF('Január-December'!AB246:AB275,"*tropická noc*")</f>
        <v>0</v>
      </c>
      <c r="H11" s="69">
        <f>COUNTIF(búrky!E181:E187,"*w*")</f>
        <v>0</v>
      </c>
      <c r="I11" s="69">
        <f>COUNTIF(búrky!E181:E187,"*P*")</f>
        <v>0</v>
      </c>
      <c r="J11" s="64">
        <f>COUNTIF(búrky!E181:E187,"*L*")</f>
        <v>0</v>
      </c>
      <c r="K11" s="74">
        <f>COUNTIF(búrky!E181:E187,"*V*")</f>
        <v>0</v>
      </c>
      <c r="L11" s="76">
        <f t="shared" si="1"/>
        <v>0</v>
      </c>
      <c r="M11" s="69">
        <f>COUNTIF('Január-December'!AB246:AB275,"*zákal*")</f>
        <v>0</v>
      </c>
      <c r="N11" s="69">
        <f>COUNTIF('Január-December'!AB246:AB275,"*dymno*")</f>
        <v>0</v>
      </c>
      <c r="O11" s="69">
        <f>COUNTIF('Január-December'!AB246:AB275,"*hmla*")</f>
        <v>0</v>
      </c>
      <c r="P11" s="69">
        <f>COUNTIF('Január-December'!AB246:AB275,"*slnečný deň*")</f>
        <v>0</v>
      </c>
      <c r="Q11" s="254">
        <f>COUNTIF('Január-December'!AB246:AB275,"*0/8*")</f>
        <v>0</v>
      </c>
      <c r="R11" s="254">
        <f>COUNTIF('Január-December'!AB246:AB275,"*8/8*")</f>
        <v>0</v>
      </c>
      <c r="S11" s="69">
        <f t="shared" si="0"/>
        <v>0</v>
      </c>
      <c r="T11" s="254">
        <f>COUNTIF('Január-December'!W246:W275,"*N*")</f>
        <v>0</v>
      </c>
      <c r="U11" s="254">
        <f>COUNTIF('Január-December'!W246:W275,"*Z*")</f>
        <v>0</v>
      </c>
      <c r="V11" s="69">
        <f>COUNTIF('Január-December'!W246:W275,"*D*")</f>
        <v>0</v>
      </c>
      <c r="W11" s="69">
        <f>COUNTIF('Január-December'!W246:W275,"*K*")</f>
        <v>0</v>
      </c>
      <c r="X11" s="69">
        <f>COUNTIF('Január-December'!W246:W275,"*S*")</f>
        <v>0</v>
      </c>
      <c r="Y11" s="69">
        <f>COUNTIF('Január-December'!W245:W274,"*U*")</f>
        <v>0</v>
      </c>
      <c r="Z11" s="69">
        <f t="shared" si="2"/>
        <v>0</v>
      </c>
      <c r="AA11" s="69">
        <f>COUNTIF('Január-December'!AB246:AB275,"*SSP*")</f>
        <v>0</v>
      </c>
      <c r="AB11" s="69">
        <f>COUNTIF('Január-December'!AB246:AB275,"*NSP*")</f>
        <v>0</v>
      </c>
      <c r="AC11" s="69">
        <f>COUNTIF('Január-December'!AB246:AB275,"*poprašok*")</f>
        <v>0</v>
      </c>
    </row>
    <row r="12" spans="1:30" s="69" customFormat="1" ht="15" customHeight="1" x14ac:dyDescent="0.3">
      <c r="A12" s="64" t="s">
        <v>32</v>
      </c>
      <c r="B12" s="69">
        <f>COUNTIF('Január-December'!E276:E306,"&lt;=-10")</f>
        <v>0</v>
      </c>
      <c r="C12" s="69">
        <f>COUNTIF('Január-December'!E276:E306,"&lt;=-0.1")</f>
        <v>0</v>
      </c>
      <c r="D12" s="69">
        <f>COUNTIF('Január-December'!F276:F306,"&lt;=0")</f>
        <v>0</v>
      </c>
      <c r="E12" s="69">
        <f>COUNTIF('Január-December'!E276:E306,"&gt;="&amp;25)</f>
        <v>0</v>
      </c>
      <c r="F12" s="69">
        <f>COUNTIF('Január-December'!E276:E306,"&gt;=30")</f>
        <v>0</v>
      </c>
      <c r="G12" s="69">
        <f>COUNTIF('Január-December'!AB276:AB306,"*tropická noc*")</f>
        <v>0</v>
      </c>
      <c r="H12" s="69">
        <f>COUNTIF(búrky!E200:E202,"*w*")</f>
        <v>0</v>
      </c>
      <c r="I12" s="69">
        <f>COUNTIF(búrky!E200:E202,"*P*")</f>
        <v>0</v>
      </c>
      <c r="J12" s="64">
        <f>COUNTIF(búrky!E200:E202,"*L*")</f>
        <v>0</v>
      </c>
      <c r="K12" s="74">
        <f>COUNTIF(búrky!E200:E202,"*V*")</f>
        <v>0</v>
      </c>
      <c r="L12" s="76">
        <f t="shared" si="1"/>
        <v>0</v>
      </c>
      <c r="M12" s="69">
        <f>COUNTIF('Január-December'!AB276:AB306,"*zákal*")</f>
        <v>0</v>
      </c>
      <c r="N12" s="69">
        <f>COUNTIF('Január-December'!AB276:AB306,"*dymno*")</f>
        <v>0</v>
      </c>
      <c r="O12" s="69">
        <f>COUNTIF('Január-December'!AB276:AB306,"*hmla*")</f>
        <v>0</v>
      </c>
      <c r="P12" s="69">
        <f>COUNTIF('Január-December'!AB276:AB306,"*slnečný deň*")</f>
        <v>0</v>
      </c>
      <c r="Q12" s="254">
        <f>COUNTIF('Január-December'!AB276:AB306,"*0/8*")</f>
        <v>0</v>
      </c>
      <c r="R12" s="254">
        <f>COUNTIF('Január-December'!AB276:AB306,"*8/8*")</f>
        <v>0</v>
      </c>
      <c r="S12" s="69">
        <f t="shared" si="0"/>
        <v>0</v>
      </c>
      <c r="T12" s="254">
        <f>COUNTIF('Január-December'!W276:W306,"*N*")</f>
        <v>0</v>
      </c>
      <c r="U12" s="254">
        <f>COUNTIF('Január-December'!W276:W306,"*Z*")</f>
        <v>0</v>
      </c>
      <c r="V12" s="69">
        <f>COUNTIF('Január-December'!W276:W306,"*D*")</f>
        <v>0</v>
      </c>
      <c r="W12" s="69">
        <f>COUNTIF('Január-December'!W276:W306,"*K*")</f>
        <v>0</v>
      </c>
      <c r="X12" s="69">
        <f>COUNTIF('Január-December'!W276:W306,"*S*")</f>
        <v>0</v>
      </c>
      <c r="Y12" s="69">
        <f>COUNTIF('Január-December'!W275:W305,"*U*")</f>
        <v>0</v>
      </c>
      <c r="Z12" s="69">
        <f t="shared" si="2"/>
        <v>0</v>
      </c>
      <c r="AA12" s="69">
        <f>COUNTIF('Január-December'!AB276:AB306,"*SSP*")</f>
        <v>0</v>
      </c>
      <c r="AB12" s="69">
        <f>COUNTIF('Január-December'!AB276:AB306,"*NSP*")</f>
        <v>0</v>
      </c>
      <c r="AC12" s="69">
        <f>COUNTIF('Január-December'!AB276:AB306,"*poprašok*")</f>
        <v>0</v>
      </c>
    </row>
    <row r="13" spans="1:30" s="69" customFormat="1" x14ac:dyDescent="0.3">
      <c r="A13" s="64" t="s">
        <v>33</v>
      </c>
      <c r="B13" s="69">
        <f>COUNTIF('Január-December'!E307:E336,"&lt;=-10")</f>
        <v>0</v>
      </c>
      <c r="C13" s="69">
        <f>COUNTIF('Január-December'!E307:E336,"&lt;=-0.1")</f>
        <v>0</v>
      </c>
      <c r="D13" s="69">
        <f>COUNTIF('Január-December'!F307:F336,"&lt;=0")</f>
        <v>0</v>
      </c>
      <c r="E13" s="69">
        <f>COUNTIF('Január-December'!E307:E336,"&gt;="&amp;25)</f>
        <v>0</v>
      </c>
      <c r="F13" s="69">
        <f>COUNTIF('Január-December'!E307:E336,"&gt;=30")</f>
        <v>0</v>
      </c>
      <c r="G13" s="69">
        <f>COUNTIF('Január-December'!AB307:AB336,"*tropická noc*")</f>
        <v>0</v>
      </c>
      <c r="H13" s="69">
        <f>COUNTIF(búrky!E215:E217,"*w*")</f>
        <v>0</v>
      </c>
      <c r="I13" s="69">
        <f>COUNTIF(búrky!E215:E217,"*P*")</f>
        <v>0</v>
      </c>
      <c r="J13" s="64">
        <f>COUNTIF(búrky!E215:E217,"*L*")</f>
        <v>0</v>
      </c>
      <c r="K13" s="74">
        <f>COUNTIF(búrky!E215:E217,"*V*")</f>
        <v>0</v>
      </c>
      <c r="L13" s="76">
        <f t="shared" si="1"/>
        <v>0</v>
      </c>
      <c r="M13" s="69">
        <f>COUNTIF('Január-December'!AB307:AB336,"*zákal*")</f>
        <v>0</v>
      </c>
      <c r="N13" s="69">
        <f>COUNTIF('Január-December'!AB307:AB336,"*dymno*")</f>
        <v>0</v>
      </c>
      <c r="O13" s="69">
        <f>COUNTIF('Január-December'!AB307:AB336,"*hmla*")</f>
        <v>0</v>
      </c>
      <c r="P13" s="69">
        <f>COUNTIF('Január-December'!AB307:AB336,"*slnečný deň*")</f>
        <v>0</v>
      </c>
      <c r="Q13" s="254">
        <f>COUNTIF('Január-December'!AB307:AB336,"*0/8*")</f>
        <v>0</v>
      </c>
      <c r="R13" s="254">
        <f>COUNTIF('Január-December'!AB307:AB336,"*8/8*")</f>
        <v>0</v>
      </c>
      <c r="S13" s="69">
        <f t="shared" si="0"/>
        <v>0</v>
      </c>
      <c r="T13" s="254">
        <f>COUNTIF('Január-December'!W307:W336,"*N*")</f>
        <v>0</v>
      </c>
      <c r="U13" s="254">
        <f>COUNTIF('Január-December'!W307:W336,"*Z*")</f>
        <v>0</v>
      </c>
      <c r="V13" s="69">
        <f>COUNTIF('Január-December'!W307:W336,"*D*")</f>
        <v>0</v>
      </c>
      <c r="W13" s="69">
        <f>COUNTIF('Január-December'!W307:W336,"*K*")</f>
        <v>0</v>
      </c>
      <c r="X13" s="69">
        <f>COUNTIF('Január-December'!W307:W336,"*S*")</f>
        <v>0</v>
      </c>
      <c r="Y13" s="69">
        <f>COUNTIF('Január-December'!W306:W335,"*U*")</f>
        <v>0</v>
      </c>
      <c r="Z13" s="69">
        <f t="shared" si="2"/>
        <v>0</v>
      </c>
      <c r="AA13" s="69">
        <f>COUNTIF('Január-December'!AB307:AB336,"*SSP*")</f>
        <v>0</v>
      </c>
      <c r="AB13" s="69">
        <f>COUNTIF('Január-December'!AB307:AB336,"*NSP*")</f>
        <v>0</v>
      </c>
      <c r="AC13" s="69">
        <f>COUNTIF('Január-December'!AB307:AB336,"*poprašok*")</f>
        <v>0</v>
      </c>
    </row>
    <row r="14" spans="1:30" s="71" customFormat="1" ht="15" thickBot="1" x14ac:dyDescent="0.35">
      <c r="A14" s="70" t="s">
        <v>34</v>
      </c>
      <c r="B14" s="71">
        <f>COUNTIF('Január-December'!E337:E367,"&lt;=-10")</f>
        <v>0</v>
      </c>
      <c r="C14" s="71">
        <f>COUNTIF('Január-December'!E337:E367,"&lt;=-0.1")</f>
        <v>0</v>
      </c>
      <c r="D14" s="71">
        <f>COUNTIF('Január-December'!F337:F367,"&lt;=0")</f>
        <v>0</v>
      </c>
      <c r="E14" s="71">
        <f>COUNTIF('Január-December'!E337:E367,"&gt;="&amp;25)</f>
        <v>0</v>
      </c>
      <c r="F14" s="71">
        <f>COUNTIF('Január-December'!E337:E367,"&gt;=30")</f>
        <v>0</v>
      </c>
      <c r="G14" s="71">
        <f>COUNTIF('Január-December'!AB337:AB367,"*tropická noc*")</f>
        <v>0</v>
      </c>
      <c r="H14" s="71">
        <f>COUNTIF(búrky!E230:E232,"*w*")</f>
        <v>0</v>
      </c>
      <c r="I14" s="71">
        <f>COUNTIF(búrky!E230:E232,"*P*")</f>
        <v>0</v>
      </c>
      <c r="J14" s="70">
        <f>COUNTIF(búrky!E230:E232,"*L*")</f>
        <v>0</v>
      </c>
      <c r="K14" s="241">
        <f>COUNTIF(búrky!E230:E232,"*V*")</f>
        <v>0</v>
      </c>
      <c r="L14" s="76">
        <f t="shared" si="1"/>
        <v>0</v>
      </c>
      <c r="M14" s="71">
        <f>COUNTIF('Január-December'!AB337:AB367,"*zákal*")</f>
        <v>0</v>
      </c>
      <c r="N14" s="71">
        <f>COUNTIF('Január-December'!AB337:AB367,"*dymno*")</f>
        <v>0</v>
      </c>
      <c r="O14" s="71">
        <f>COUNTIF('Január-December'!AB337:AB367,"*hmla*")</f>
        <v>0</v>
      </c>
      <c r="P14" s="71">
        <f>COUNTIF('Január-December'!AB337:AB367,"*slnečný deň*")</f>
        <v>0</v>
      </c>
      <c r="Q14" s="255">
        <f>COUNTIF('Január-December'!AB337:AB367,"*0/8*")</f>
        <v>0</v>
      </c>
      <c r="R14" s="255">
        <f>COUNTIF('Január-December'!AB337:AB367,"*8/8*")</f>
        <v>0</v>
      </c>
      <c r="S14" s="71">
        <f t="shared" si="0"/>
        <v>0</v>
      </c>
      <c r="T14" s="255">
        <f>COUNTIF('Január-December'!W337:W367,"*N*")</f>
        <v>0</v>
      </c>
      <c r="U14" s="255">
        <f>COUNTIF('Január-December'!W337:W367,"*Z*")</f>
        <v>0</v>
      </c>
      <c r="V14" s="71">
        <f>COUNTIF('Január-December'!W337:W367,"*D*")</f>
        <v>0</v>
      </c>
      <c r="W14" s="71">
        <f>COUNTIF('Január-December'!W337:W367,"*K*")</f>
        <v>0</v>
      </c>
      <c r="X14" s="71">
        <f>COUNTIF('Január-December'!W337:W367,"*S*")</f>
        <v>0</v>
      </c>
      <c r="Y14" s="71">
        <f>COUNTIF('Január-December'!W336:W366,"*U*")</f>
        <v>0</v>
      </c>
      <c r="Z14" s="69">
        <f t="shared" si="2"/>
        <v>0</v>
      </c>
      <c r="AA14" s="71">
        <f>COUNTIF('Január-December'!AB337:AB367,"*SSP*")</f>
        <v>0</v>
      </c>
      <c r="AB14" s="71">
        <f>COUNTIF('Január-December'!AB337:AB367,"*NSP*")</f>
        <v>0</v>
      </c>
      <c r="AC14" s="71">
        <f>COUNTIF('Január-December'!AB337:AB367,"*poprašok*")</f>
        <v>0</v>
      </c>
    </row>
    <row r="15" spans="1:30" s="73" customFormat="1" ht="16.2" thickBot="1" x14ac:dyDescent="0.35">
      <c r="A15" s="72">
        <v>2025</v>
      </c>
      <c r="B15" s="242">
        <f t="shared" ref="B15:AC15" si="3">SUM(B3:B14)</f>
        <v>0</v>
      </c>
      <c r="C15" s="73">
        <f t="shared" si="3"/>
        <v>8</v>
      </c>
      <c r="D15" s="73">
        <f t="shared" si="3"/>
        <v>76</v>
      </c>
      <c r="E15" s="73">
        <f t="shared" si="3"/>
        <v>4</v>
      </c>
      <c r="F15" s="73">
        <f t="shared" si="3"/>
        <v>0</v>
      </c>
      <c r="G15" s="73">
        <f t="shared" si="3"/>
        <v>0</v>
      </c>
      <c r="H15" s="73">
        <f t="shared" si="3"/>
        <v>6</v>
      </c>
      <c r="I15" s="73">
        <f t="shared" si="3"/>
        <v>4</v>
      </c>
      <c r="J15" s="73">
        <f t="shared" si="3"/>
        <v>1</v>
      </c>
      <c r="K15" s="75">
        <f t="shared" si="3"/>
        <v>2</v>
      </c>
      <c r="L15" s="77">
        <f>SUM(L3:L14)</f>
        <v>7</v>
      </c>
      <c r="M15" s="77">
        <f>SUM(M3:M14)</f>
        <v>3</v>
      </c>
      <c r="N15" s="77">
        <f>SUM(N3:N14)</f>
        <v>18</v>
      </c>
      <c r="O15" s="73">
        <f t="shared" si="3"/>
        <v>22</v>
      </c>
      <c r="P15" s="77">
        <f>SUM(P3:P14)</f>
        <v>21</v>
      </c>
      <c r="Q15" s="77">
        <f t="shared" si="3"/>
        <v>2</v>
      </c>
      <c r="R15" s="77">
        <f t="shared" si="3"/>
        <v>25</v>
      </c>
      <c r="S15" s="73">
        <f t="shared" si="3"/>
        <v>61</v>
      </c>
      <c r="T15" s="77">
        <f>SUM(T3:T14)</f>
        <v>21</v>
      </c>
      <c r="U15" s="77">
        <f t="shared" si="3"/>
        <v>40</v>
      </c>
      <c r="V15" s="73">
        <f t="shared" si="3"/>
        <v>38</v>
      </c>
      <c r="W15" s="73">
        <f t="shared" si="3"/>
        <v>0</v>
      </c>
      <c r="X15" s="73">
        <f t="shared" si="3"/>
        <v>31</v>
      </c>
      <c r="Y15" s="73">
        <f>SUM(Y3:Y14)</f>
        <v>0</v>
      </c>
      <c r="Z15" s="73">
        <f t="shared" si="3"/>
        <v>17</v>
      </c>
      <c r="AA15" s="73">
        <f t="shared" si="3"/>
        <v>8</v>
      </c>
      <c r="AB15" s="73">
        <f t="shared" si="3"/>
        <v>7</v>
      </c>
      <c r="AC15" s="244">
        <f t="shared" si="3"/>
        <v>2</v>
      </c>
      <c r="AD15" s="75"/>
    </row>
  </sheetData>
  <mergeCells count="6">
    <mergeCell ref="M1:R1"/>
    <mergeCell ref="Z1:AC1"/>
    <mergeCell ref="A1:A2"/>
    <mergeCell ref="B1:G1"/>
    <mergeCell ref="H1:L1"/>
    <mergeCell ref="S1:Y1"/>
  </mergeCells>
  <conditionalFormatting sqref="B3:AC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B14:C14 B5:C5 D5:G5 B6:C6 D6:G6 B7:C7 D7:G7 B8:C8 D8:G8 B9:C9 D9:G9 B10:C10 D10:G10 B11:C11 D11:G11 B12:C12 D12:G12 B13:C13 D13:G13 D14:G14 D3:G3 B3:C3 B4:AC4 H3:AC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2025</vt:lpstr>
      <vt:lpstr>2025 dni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2025-05-02T09:49:00Z</dcterms:modified>
</cp:coreProperties>
</file>